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 activeTab="2"/>
  </bookViews>
  <sheets>
    <sheet name="H &amp; M - SUM-1" sheetId="1" r:id="rId1"/>
    <sheet name="H &amp;M -SUM-2" sheetId="2" r:id="rId2"/>
    <sheet name="H&amp;M-FEED" sheetId="3" r:id="rId3"/>
  </sheets>
  <definedNames>
    <definedName name="_xlnm.Print_Area" localSheetId="0">'H &amp; M - SUM-1'!$A$1:$X$71</definedName>
  </definedNames>
  <calcPr calcId="125725"/>
</workbook>
</file>

<file path=xl/calcChain.xml><?xml version="1.0" encoding="utf-8"?>
<calcChain xmlns="http://schemas.openxmlformats.org/spreadsheetml/2006/main">
  <c r="L16" i="3"/>
  <c r="K16"/>
  <c r="J16"/>
  <c r="I16"/>
  <c r="E16"/>
  <c r="D16"/>
  <c r="H67"/>
  <c r="G67"/>
  <c r="G43"/>
  <c r="H43" s="1"/>
  <c r="H42"/>
  <c r="G42"/>
  <c r="H44"/>
  <c r="G44"/>
  <c r="G32"/>
  <c r="H32" s="1"/>
  <c r="G31"/>
  <c r="H31" s="1"/>
  <c r="G30"/>
  <c r="H30" s="1"/>
  <c r="G19"/>
  <c r="H19" s="1"/>
  <c r="H18"/>
  <c r="G18"/>
  <c r="H17"/>
  <c r="G17"/>
  <c r="G11"/>
  <c r="H11" s="1"/>
  <c r="G9"/>
  <c r="H9" s="1"/>
  <c r="G8"/>
  <c r="H8" s="1"/>
  <c r="H10"/>
  <c r="G10"/>
  <c r="H6"/>
  <c r="H7" s="1"/>
  <c r="G6"/>
  <c r="G7" s="1"/>
  <c r="F67"/>
  <c r="F44"/>
  <c r="F43"/>
  <c r="F42"/>
  <c r="F32"/>
  <c r="F31"/>
  <c r="F30"/>
  <c r="F19"/>
  <c r="E19"/>
  <c r="D19"/>
  <c r="F18"/>
  <c r="F17"/>
  <c r="F11"/>
  <c r="E11"/>
  <c r="D11"/>
  <c r="F9"/>
  <c r="F8"/>
  <c r="F10"/>
  <c r="F6"/>
  <c r="F7" s="1"/>
  <c r="D8"/>
  <c r="E8" s="1"/>
  <c r="D42"/>
  <c r="E42" s="1"/>
  <c r="D32"/>
  <c r="E32" s="1"/>
  <c r="D31"/>
  <c r="E31" s="1"/>
  <c r="D30"/>
  <c r="E30" s="1"/>
  <c r="D18"/>
  <c r="E18" s="1"/>
  <c r="D17"/>
  <c r="E17" s="1"/>
  <c r="D6"/>
  <c r="E67"/>
  <c r="D67"/>
  <c r="E10"/>
  <c r="D10"/>
  <c r="E6"/>
  <c r="E7" s="1"/>
  <c r="D7"/>
  <c r="L67"/>
  <c r="K67"/>
  <c r="J67"/>
  <c r="I67"/>
  <c r="L10"/>
  <c r="L6"/>
  <c r="L7" s="1"/>
  <c r="K10"/>
  <c r="J10"/>
  <c r="I10"/>
  <c r="K6"/>
  <c r="K7" s="1"/>
  <c r="J6"/>
  <c r="J7" s="1"/>
  <c r="I6"/>
  <c r="I7" s="1"/>
  <c r="D66" i="2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C66"/>
  <c r="D67" i="1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C67"/>
  <c r="C67" i="3"/>
  <c r="G16"/>
  <c r="H16" s="1"/>
  <c r="C10"/>
  <c r="C6"/>
  <c r="C7" s="1"/>
  <c r="R31" i="2"/>
  <c r="R30"/>
  <c r="Q16" i="1"/>
  <c r="AA42" i="2"/>
  <c r="Z42"/>
  <c r="Y42"/>
  <c r="X42"/>
  <c r="W42"/>
  <c r="V42"/>
  <c r="U42"/>
  <c r="T42"/>
  <c r="S42"/>
  <c r="K19"/>
  <c r="J19"/>
  <c r="I19"/>
  <c r="H19"/>
  <c r="G19"/>
  <c r="F19"/>
  <c r="E19"/>
  <c r="D19"/>
  <c r="R19"/>
  <c r="Q19"/>
  <c r="P19"/>
  <c r="O19"/>
  <c r="N19"/>
  <c r="M19"/>
  <c r="L19"/>
  <c r="C19"/>
  <c r="K18"/>
  <c r="J18"/>
  <c r="I18"/>
  <c r="H18"/>
  <c r="G18"/>
  <c r="F18"/>
  <c r="E18"/>
  <c r="D18"/>
  <c r="R18"/>
  <c r="Q18"/>
  <c r="P18"/>
  <c r="O18"/>
  <c r="N18"/>
  <c r="M18"/>
  <c r="L18"/>
  <c r="C18"/>
  <c r="K17"/>
  <c r="J17"/>
  <c r="I17"/>
  <c r="H17"/>
  <c r="G17"/>
  <c r="F17"/>
  <c r="E17"/>
  <c r="D17"/>
  <c r="R17"/>
  <c r="Q17"/>
  <c r="P17"/>
  <c r="O17"/>
  <c r="N17"/>
  <c r="M17"/>
  <c r="L17"/>
  <c r="C17"/>
  <c r="K16"/>
  <c r="J16"/>
  <c r="I16"/>
  <c r="H16"/>
  <c r="G16"/>
  <c r="F16"/>
  <c r="E16"/>
  <c r="D16"/>
  <c r="R16"/>
  <c r="Q16"/>
  <c r="P16"/>
  <c r="O16"/>
  <c r="N16"/>
  <c r="M16"/>
  <c r="L16"/>
  <c r="C16"/>
  <c r="AA11"/>
  <c r="Z11"/>
  <c r="Y11"/>
  <c r="X11"/>
  <c r="W11"/>
  <c r="V11"/>
  <c r="U11"/>
  <c r="T11"/>
  <c r="S11"/>
  <c r="K11"/>
  <c r="J11"/>
  <c r="I11"/>
  <c r="H11"/>
  <c r="G11"/>
  <c r="F11"/>
  <c r="E11"/>
  <c r="D11"/>
  <c r="R11"/>
  <c r="Q11"/>
  <c r="P11"/>
  <c r="O11"/>
  <c r="N11"/>
  <c r="M11"/>
  <c r="L11"/>
  <c r="C11"/>
  <c r="AA10"/>
  <c r="Z10"/>
  <c r="Y10"/>
  <c r="X10"/>
  <c r="W10"/>
  <c r="V10"/>
  <c r="U10"/>
  <c r="T10"/>
  <c r="S10"/>
  <c r="K10"/>
  <c r="J10"/>
  <c r="I10"/>
  <c r="H10"/>
  <c r="G10"/>
  <c r="F10"/>
  <c r="E10"/>
  <c r="D10"/>
  <c r="R10"/>
  <c r="Q10"/>
  <c r="P10"/>
  <c r="O10"/>
  <c r="N10"/>
  <c r="M10"/>
  <c r="L10"/>
  <c r="C10"/>
  <c r="AA9"/>
  <c r="Z9"/>
  <c r="Y9"/>
  <c r="X9"/>
  <c r="W9"/>
  <c r="V9"/>
  <c r="U9"/>
  <c r="T9"/>
  <c r="S9"/>
  <c r="K9"/>
  <c r="J9"/>
  <c r="I9"/>
  <c r="H9"/>
  <c r="G9"/>
  <c r="F9"/>
  <c r="E9"/>
  <c r="D9"/>
  <c r="R9"/>
  <c r="Q9"/>
  <c r="P9"/>
  <c r="O9"/>
  <c r="N9"/>
  <c r="M9"/>
  <c r="L9"/>
  <c r="C9"/>
  <c r="AA8"/>
  <c r="Z8"/>
  <c r="Y8"/>
  <c r="X8"/>
  <c r="W8"/>
  <c r="V8"/>
  <c r="U8"/>
  <c r="T8"/>
  <c r="S8"/>
  <c r="K8"/>
  <c r="J8"/>
  <c r="I8"/>
  <c r="H8"/>
  <c r="G8"/>
  <c r="F8"/>
  <c r="E8"/>
  <c r="D8"/>
  <c r="R8"/>
  <c r="Q8"/>
  <c r="P8"/>
  <c r="O8"/>
  <c r="N8"/>
  <c r="M8"/>
  <c r="L8"/>
  <c r="C8"/>
  <c r="AA6"/>
  <c r="AA7" s="1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R6"/>
  <c r="R7" s="1"/>
  <c r="Q6"/>
  <c r="Q7" s="1"/>
  <c r="P6"/>
  <c r="P7" s="1"/>
  <c r="O6"/>
  <c r="O7" s="1"/>
  <c r="N6"/>
  <c r="N7" s="1"/>
  <c r="M6"/>
  <c r="M7" s="1"/>
  <c r="L6"/>
  <c r="L7" s="1"/>
  <c r="C6"/>
  <c r="C7" s="1"/>
  <c r="H7" i="1"/>
  <c r="I7"/>
  <c r="J7"/>
  <c r="K7"/>
  <c r="L7"/>
  <c r="M7"/>
  <c r="N7"/>
  <c r="O7"/>
  <c r="P7"/>
  <c r="Q7"/>
  <c r="R7"/>
  <c r="S7"/>
  <c r="T7"/>
  <c r="U7"/>
  <c r="V7"/>
  <c r="W7"/>
  <c r="X7"/>
  <c r="D7"/>
  <c r="E7"/>
  <c r="F7"/>
  <c r="G7"/>
  <c r="C7"/>
  <c r="D42"/>
  <c r="C42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Q19"/>
  <c r="J19"/>
  <c r="I19"/>
  <c r="H19"/>
  <c r="G19"/>
  <c r="D19"/>
  <c r="C19"/>
  <c r="Q18"/>
  <c r="J18"/>
  <c r="I18"/>
  <c r="H18"/>
  <c r="G18"/>
  <c r="D18"/>
  <c r="C18"/>
  <c r="Q17"/>
  <c r="J17"/>
  <c r="I17"/>
  <c r="H17"/>
  <c r="G17"/>
  <c r="D17"/>
  <c r="C17"/>
  <c r="J16"/>
  <c r="I16"/>
  <c r="H16"/>
  <c r="G16"/>
  <c r="D16"/>
  <c r="C16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F16" i="3" l="1"/>
</calcChain>
</file>

<file path=xl/sharedStrings.xml><?xml version="1.0" encoding="utf-8"?>
<sst xmlns="http://schemas.openxmlformats.org/spreadsheetml/2006/main" count="1141" uniqueCount="104">
  <si>
    <t>Stream Name</t>
  </si>
  <si>
    <t>Description</t>
  </si>
  <si>
    <t xml:space="preserve">   Vapour_Fraction</t>
  </si>
  <si>
    <t xml:space="preserve">   Temperature</t>
  </si>
  <si>
    <t xml:space="preserve">   Pressure</t>
  </si>
  <si>
    <t>kPag</t>
  </si>
  <si>
    <t xml:space="preserve">   Mass_Flow</t>
  </si>
  <si>
    <t>kg/h</t>
  </si>
  <si>
    <t xml:space="preserve">  Molar_Flow</t>
  </si>
  <si>
    <t>kgmol/h</t>
  </si>
  <si>
    <t xml:space="preserve">   Molecular_Weight</t>
  </si>
  <si>
    <t xml:space="preserve">   Energy</t>
  </si>
  <si>
    <t>kW</t>
  </si>
  <si>
    <t xml:space="preserve">   Mass_Cp</t>
  </si>
  <si>
    <t xml:space="preserve">   Mass_Density</t>
  </si>
  <si>
    <t>GAS PHASE</t>
  </si>
  <si>
    <t xml:space="preserve">  Std_Gas_Flow</t>
  </si>
  <si>
    <t>kSm³/h</t>
  </si>
  <si>
    <t>Molar flow</t>
  </si>
  <si>
    <t>---</t>
  </si>
  <si>
    <t>Act_Gas_Flow</t>
  </si>
  <si>
    <t>Mass_Flow</t>
  </si>
  <si>
    <t>Molecular_Weight</t>
  </si>
  <si>
    <t>Mass_Cp</t>
  </si>
  <si>
    <t>Z_Factor</t>
  </si>
  <si>
    <t>Thermal_Cond_</t>
  </si>
  <si>
    <t>Viscosity</t>
  </si>
  <si>
    <t>mPas</t>
  </si>
  <si>
    <t>Mass_Density</t>
  </si>
  <si>
    <t>Cp / Cv</t>
  </si>
  <si>
    <t>OIL PHASE</t>
  </si>
  <si>
    <t>Liq_Vol_Flow</t>
  </si>
  <si>
    <t>Sm³/h</t>
  </si>
  <si>
    <t>Volume_Flow</t>
  </si>
  <si>
    <t>Surface Tension</t>
  </si>
  <si>
    <t>mN/m</t>
  </si>
  <si>
    <t>AQUEOUS PHASE</t>
  </si>
  <si>
    <t>COMPOSITION (Mol%)</t>
  </si>
  <si>
    <t>H2O</t>
  </si>
  <si>
    <t>H2S</t>
  </si>
  <si>
    <t>Nitrogen</t>
  </si>
  <si>
    <t>CO2</t>
  </si>
  <si>
    <t>Methane</t>
  </si>
  <si>
    <t>Ethane</t>
  </si>
  <si>
    <t>Propane</t>
  </si>
  <si>
    <t>i-Butane</t>
  </si>
  <si>
    <t>n-Butane</t>
  </si>
  <si>
    <t>i-Pentane</t>
  </si>
  <si>
    <t>n-Pentane</t>
  </si>
  <si>
    <t>n-Hexane</t>
  </si>
  <si>
    <t>c7+*</t>
  </si>
  <si>
    <t>UNIT</t>
  </si>
  <si>
    <t>STREAM NAME</t>
  </si>
  <si>
    <r>
      <t>o</t>
    </r>
    <r>
      <rPr>
        <sz val="10"/>
        <rFont val="Calibri"/>
        <family val="2"/>
        <scheme val="minor"/>
      </rPr>
      <t>C</t>
    </r>
  </si>
  <si>
    <r>
      <t>kJ/kg.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C</t>
    </r>
  </si>
  <si>
    <r>
      <t>kg/m</t>
    </r>
    <r>
      <rPr>
        <vertAlign val="superscript"/>
        <sz val="10"/>
        <rFont val="Calibri"/>
        <family val="2"/>
        <scheme val="minor"/>
      </rPr>
      <t>3</t>
    </r>
  </si>
  <si>
    <r>
      <t>Am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/h</t>
    </r>
  </si>
  <si>
    <r>
      <t>W/m.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K</t>
    </r>
  </si>
  <si>
    <t>Phase</t>
  </si>
  <si>
    <t>Mixed</t>
  </si>
  <si>
    <t>Liquid</t>
  </si>
  <si>
    <t>Psig</t>
  </si>
  <si>
    <t>V1</t>
  </si>
  <si>
    <t>V10</t>
  </si>
  <si>
    <t>V11</t>
  </si>
  <si>
    <t>V12</t>
  </si>
  <si>
    <t>V13</t>
  </si>
  <si>
    <t>V14</t>
  </si>
  <si>
    <t>V15</t>
  </si>
  <si>
    <t>V16</t>
  </si>
  <si>
    <t>V2</t>
  </si>
  <si>
    <t>V3</t>
  </si>
  <si>
    <t>V4</t>
  </si>
  <si>
    <t>V5</t>
  </si>
  <si>
    <t>V6</t>
  </si>
  <si>
    <t>V7</t>
  </si>
  <si>
    <t>V8</t>
  </si>
  <si>
    <t>V9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</si>
  <si>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</si>
  <si>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</si>
  <si>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</si>
  <si>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</si>
  <si>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</si>
  <si>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</si>
  <si>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</si>
  <si>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</si>
  <si>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</si>
  <si>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 xml:space="preserve">   Phase</t>
  </si>
  <si>
    <t>Vapor</t>
  </si>
  <si>
    <t>Note :</t>
  </si>
  <si>
    <t xml:space="preserve">1-All data and fluid composition shall be finalized during detail stage -20% water cut is considered for each wells </t>
  </si>
  <si>
    <t>2-Pressure at delivery point for oil and gas shall be finalized during detail stage by EPC contractor. Stablized oil will be transferred by boosting pump to gharbe karoun boosting station &amp; gas transferred by under groung pipeline to NGL-3200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</si>
  <si>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</si>
  <si>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</si>
  <si>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</si>
  <si>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</si>
  <si>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</si>
  <si>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</si>
  <si>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</si>
  <si>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</si>
  <si>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</si>
  <si>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</si>
  <si>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3-MAX .oil flow production rate for each wells is 3000 STB/DAY.Heat and Material balance is developed for normal production rate : 2500 STB/DAY for each wells.</t>
  </si>
  <si>
    <t>MMSCFD</t>
  </si>
</sst>
</file>

<file path=xl/styles.xml><?xml version="1.0" encoding="utf-8"?>
<styleSheet xmlns="http://schemas.openxmlformats.org/spreadsheetml/2006/main">
  <numFmts count="3">
    <numFmt numFmtId="164" formatCode="_X@"/>
    <numFmt numFmtId="165" formatCode="0.000"/>
    <numFmt numFmtId="166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sz val="6.5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sz val="12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2" fontId="9" fillId="0" borderId="2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/>
    </xf>
    <xf numFmtId="2" fontId="9" fillId="0" borderId="2" xfId="1" quotePrefix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2" fontId="9" fillId="0" borderId="5" xfId="1" quotePrefix="1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2" fontId="12" fillId="0" borderId="2" xfId="1" applyNumberFormat="1" applyFont="1" applyBorder="1" applyAlignment="1">
      <alignment horizontal="center" vertical="center"/>
    </xf>
    <xf numFmtId="2" fontId="12" fillId="0" borderId="3" xfId="1" applyNumberFormat="1" applyFont="1" applyBorder="1" applyAlignment="1">
      <alignment horizontal="center" vertical="center"/>
    </xf>
    <xf numFmtId="166" fontId="12" fillId="0" borderId="2" xfId="1" applyNumberFormat="1" applyFont="1" applyBorder="1" applyAlignment="1">
      <alignment horizontal="center" vertical="center"/>
    </xf>
    <xf numFmtId="166" fontId="12" fillId="0" borderId="3" xfId="1" applyNumberFormat="1" applyFont="1" applyBorder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/>
    </xf>
    <xf numFmtId="1" fontId="12" fillId="0" borderId="3" xfId="1" applyNumberFormat="1" applyFont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2" fontId="12" fillId="0" borderId="5" xfId="1" applyNumberFormat="1" applyFont="1" applyFill="1" applyBorder="1" applyAlignment="1">
      <alignment horizontal="center" vertical="center" wrapText="1"/>
    </xf>
    <xf numFmtId="2" fontId="12" fillId="0" borderId="6" xfId="1" applyNumberFormat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left" vertical="center"/>
    </xf>
    <xf numFmtId="2" fontId="13" fillId="0" borderId="4" xfId="1" applyNumberFormat="1" applyFont="1" applyBorder="1" applyAlignment="1">
      <alignment horizontal="left" vertical="center"/>
    </xf>
    <xf numFmtId="2" fontId="13" fillId="3" borderId="7" xfId="1" applyNumberFormat="1" applyFont="1" applyFill="1" applyBorder="1" applyAlignment="1">
      <alignment horizontal="left" vertical="center"/>
    </xf>
    <xf numFmtId="2" fontId="9" fillId="3" borderId="8" xfId="1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 wrapText="1"/>
    </xf>
    <xf numFmtId="2" fontId="12" fillId="0" borderId="8" xfId="1" applyNumberFormat="1" applyFont="1" applyBorder="1" applyAlignment="1">
      <alignment horizontal="center" vertical="center"/>
    </xf>
    <xf numFmtId="2" fontId="12" fillId="3" borderId="9" xfId="1" applyNumberFormat="1" applyFont="1" applyFill="1" applyBorder="1" applyAlignment="1">
      <alignment horizontal="center" vertical="center" wrapText="1"/>
    </xf>
    <xf numFmtId="2" fontId="13" fillId="0" borderId="10" xfId="1" applyNumberFormat="1" applyFont="1" applyBorder="1" applyAlignment="1">
      <alignment horizontal="left" vertical="center"/>
    </xf>
    <xf numFmtId="2" fontId="9" fillId="0" borderId="11" xfId="1" applyNumberFormat="1" applyFont="1" applyBorder="1" applyAlignment="1">
      <alignment horizontal="center" vertical="center"/>
    </xf>
    <xf numFmtId="2" fontId="12" fillId="0" borderId="11" xfId="1" applyNumberFormat="1" applyFont="1" applyBorder="1" applyAlignment="1">
      <alignment horizontal="center" vertical="center"/>
    </xf>
    <xf numFmtId="2" fontId="12" fillId="0" borderId="12" xfId="1" applyNumberFormat="1" applyFont="1" applyBorder="1" applyAlignment="1">
      <alignment horizontal="center" vertical="center"/>
    </xf>
    <xf numFmtId="2" fontId="13" fillId="0" borderId="7" xfId="1" applyNumberFormat="1" applyFont="1" applyBorder="1" applyAlignment="1">
      <alignment horizontal="left" vertical="center"/>
    </xf>
    <xf numFmtId="2" fontId="9" fillId="0" borderId="8" xfId="1" applyNumberFormat="1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" vertical="center"/>
    </xf>
    <xf numFmtId="2" fontId="12" fillId="0" borderId="9" xfId="1" applyNumberFormat="1" applyFont="1" applyBorder="1" applyAlignment="1">
      <alignment horizontal="center" vertical="center"/>
    </xf>
    <xf numFmtId="2" fontId="12" fillId="0" borderId="8" xfId="1" applyNumberFormat="1" applyFont="1" applyFill="1" applyBorder="1" applyAlignment="1">
      <alignment horizontal="center" vertical="center" wrapText="1"/>
    </xf>
    <xf numFmtId="2" fontId="12" fillId="0" borderId="9" xfId="1" applyNumberFormat="1" applyFont="1" applyFill="1" applyBorder="1" applyAlignment="1">
      <alignment horizontal="center" vertical="center" wrapText="1"/>
    </xf>
    <xf numFmtId="2" fontId="9" fillId="0" borderId="11" xfId="1" quotePrefix="1" applyNumberFormat="1" applyFont="1" applyBorder="1" applyAlignment="1">
      <alignment horizontal="center" vertical="center"/>
    </xf>
    <xf numFmtId="2" fontId="12" fillId="0" borderId="11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/>
    </xf>
    <xf numFmtId="165" fontId="12" fillId="0" borderId="11" xfId="1" applyNumberFormat="1" applyFont="1" applyFill="1" applyBorder="1" applyAlignment="1">
      <alignment horizontal="center" vertical="center" wrapText="1"/>
    </xf>
    <xf numFmtId="165" fontId="12" fillId="0" borderId="12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/>
    </xf>
    <xf numFmtId="165" fontId="12" fillId="0" borderId="3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164" fontId="5" fillId="0" borderId="1" xfId="1" applyNumberFormat="1" applyFont="1" applyBorder="1"/>
    <xf numFmtId="0" fontId="3" fillId="0" borderId="1" xfId="1" applyFont="1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2" fontId="12" fillId="0" borderId="2" xfId="1" applyNumberFormat="1" applyFont="1" applyBorder="1" applyAlignment="1">
      <alignment horizontal="center"/>
    </xf>
    <xf numFmtId="2" fontId="12" fillId="0" borderId="3" xfId="1" applyNumberFormat="1" applyFont="1" applyBorder="1" applyAlignment="1">
      <alignment horizontal="center"/>
    </xf>
    <xf numFmtId="3" fontId="12" fillId="0" borderId="2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3" fontId="12" fillId="0" borderId="3" xfId="1" applyNumberFormat="1" applyFont="1" applyBorder="1" applyAlignment="1">
      <alignment horizontal="center"/>
    </xf>
    <xf numFmtId="166" fontId="12" fillId="0" borderId="2" xfId="1" applyNumberFormat="1" applyFont="1" applyBorder="1" applyAlignment="1">
      <alignment horizontal="center"/>
    </xf>
    <xf numFmtId="166" fontId="12" fillId="0" borderId="3" xfId="1" applyNumberFormat="1" applyFont="1" applyBorder="1" applyAlignment="1">
      <alignment horizontal="center"/>
    </xf>
    <xf numFmtId="165" fontId="12" fillId="0" borderId="2" xfId="1" applyNumberFormat="1" applyFont="1" applyBorder="1" applyAlignment="1">
      <alignment horizontal="center"/>
    </xf>
    <xf numFmtId="165" fontId="12" fillId="0" borderId="3" xfId="1" applyNumberFormat="1" applyFont="1" applyBorder="1" applyAlignment="1">
      <alignment horizontal="center"/>
    </xf>
    <xf numFmtId="1" fontId="12" fillId="0" borderId="3" xfId="1" applyNumberFormat="1" applyFont="1" applyBorder="1" applyAlignment="1">
      <alignment horizontal="center"/>
    </xf>
    <xf numFmtId="11" fontId="12" fillId="0" borderId="2" xfId="1" applyNumberFormat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2" xfId="1" quotePrefix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9" fillId="0" borderId="5" xfId="1" quotePrefix="1" applyFont="1" applyBorder="1" applyAlignment="1">
      <alignment horizontal="center"/>
    </xf>
    <xf numFmtId="166" fontId="13" fillId="0" borderId="1" xfId="1" applyNumberFormat="1" applyFont="1" applyBorder="1" applyAlignment="1">
      <alignment horizontal="left" vertical="center"/>
    </xf>
    <xf numFmtId="166" fontId="9" fillId="0" borderId="2" xfId="1" applyNumberFormat="1" applyFont="1" applyBorder="1" applyAlignment="1">
      <alignment horizontal="center"/>
    </xf>
    <xf numFmtId="166" fontId="1" fillId="0" borderId="0" xfId="0" applyNumberFormat="1" applyFont="1"/>
    <xf numFmtId="2" fontId="1" fillId="0" borderId="0" xfId="0" applyNumberFormat="1" applyFont="1"/>
    <xf numFmtId="0" fontId="3" fillId="3" borderId="7" xfId="1" applyFont="1" applyFill="1" applyBorder="1"/>
    <xf numFmtId="0" fontId="9" fillId="3" borderId="8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 wrapText="1"/>
    </xf>
    <xf numFmtId="2" fontId="6" fillId="0" borderId="8" xfId="1" applyNumberFormat="1" applyFont="1" applyBorder="1" applyAlignment="1">
      <alignment horizontal="center"/>
    </xf>
    <xf numFmtId="0" fontId="6" fillId="3" borderId="9" xfId="1" applyFont="1" applyFill="1" applyBorder="1" applyAlignment="1">
      <alignment horizontal="center" wrapText="1"/>
    </xf>
    <xf numFmtId="2" fontId="9" fillId="0" borderId="11" xfId="1" applyNumberFormat="1" applyFont="1" applyBorder="1" applyAlignment="1">
      <alignment horizontal="center"/>
    </xf>
    <xf numFmtId="2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4" fontId="5" fillId="0" borderId="7" xfId="1" applyNumberFormat="1" applyFont="1" applyBorder="1"/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1" fontId="12" fillId="0" borderId="11" xfId="1" applyNumberFormat="1" applyFont="1" applyBorder="1" applyAlignment="1">
      <alignment horizontal="center"/>
    </xf>
    <xf numFmtId="1" fontId="12" fillId="0" borderId="12" xfId="1" applyNumberFormat="1" applyFont="1" applyBorder="1" applyAlignment="1">
      <alignment horizontal="center"/>
    </xf>
    <xf numFmtId="0" fontId="3" fillId="0" borderId="7" xfId="1" applyFont="1" applyBorder="1"/>
    <xf numFmtId="0" fontId="7" fillId="0" borderId="8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8" xfId="1" applyFont="1" applyBorder="1"/>
    <xf numFmtId="0" fontId="12" fillId="0" borderId="9" xfId="1" applyFont="1" applyBorder="1" applyAlignment="1">
      <alignment horizont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9" fillId="0" borderId="11" xfId="1" quotePrefix="1" applyFont="1" applyBorder="1" applyAlignment="1">
      <alignment horizontal="center"/>
    </xf>
    <xf numFmtId="2" fontId="14" fillId="4" borderId="16" xfId="1" applyNumberFormat="1" applyFont="1" applyFill="1" applyBorder="1" applyAlignment="1">
      <alignment horizontal="left" vertical="center"/>
    </xf>
    <xf numFmtId="2" fontId="14" fillId="4" borderId="17" xfId="1" applyNumberFormat="1" applyFont="1" applyFill="1" applyBorder="1" applyAlignment="1">
      <alignment horizontal="center" vertical="center"/>
    </xf>
    <xf numFmtId="1" fontId="14" fillId="4" borderId="17" xfId="1" applyNumberFormat="1" applyFont="1" applyFill="1" applyBorder="1" applyAlignment="1">
      <alignment horizontal="center" vertical="center" wrapText="1"/>
    </xf>
    <xf numFmtId="1" fontId="14" fillId="4" borderId="18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166" fontId="12" fillId="0" borderId="12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 vertical="center"/>
    </xf>
    <xf numFmtId="166" fontId="12" fillId="0" borderId="12" xfId="1" applyNumberFormat="1" applyFont="1" applyBorder="1" applyAlignment="1">
      <alignment horizontal="center" vertical="center"/>
    </xf>
    <xf numFmtId="166" fontId="12" fillId="0" borderId="11" xfId="1" applyNumberFormat="1" applyFont="1" applyFill="1" applyBorder="1" applyAlignment="1">
      <alignment horizontal="center" vertical="center" wrapText="1"/>
    </xf>
    <xf numFmtId="166" fontId="12" fillId="0" borderId="12" xfId="1" applyNumberFormat="1" applyFont="1" applyFill="1" applyBorder="1" applyAlignment="1">
      <alignment horizontal="center" vertical="center" wrapText="1"/>
    </xf>
    <xf numFmtId="2" fontId="13" fillId="0" borderId="19" xfId="1" applyNumberFormat="1" applyFont="1" applyFill="1" applyBorder="1" applyAlignment="1">
      <alignment horizontal="left" vertical="center"/>
    </xf>
    <xf numFmtId="2" fontId="13" fillId="0" borderId="20" xfId="1" applyNumberFormat="1" applyFont="1" applyFill="1" applyBorder="1" applyAlignment="1">
      <alignment horizontal="left" vertical="center"/>
    </xf>
    <xf numFmtId="166" fontId="12" fillId="0" borderId="5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21" xfId="0" applyFont="1" applyBorder="1"/>
    <xf numFmtId="2" fontId="13" fillId="0" borderId="0" xfId="1" applyNumberFormat="1" applyFont="1" applyFill="1" applyBorder="1" applyAlignment="1">
      <alignment horizontal="left" vertical="center"/>
    </xf>
    <xf numFmtId="2" fontId="11" fillId="5" borderId="13" xfId="1" applyNumberFormat="1" applyFont="1" applyFill="1" applyBorder="1" applyAlignment="1">
      <alignment horizontal="center" vertical="center"/>
    </xf>
    <xf numFmtId="2" fontId="11" fillId="5" borderId="14" xfId="1" applyNumberFormat="1" applyFont="1" applyFill="1" applyBorder="1" applyAlignment="1">
      <alignment horizontal="center" vertical="center"/>
    </xf>
    <xf numFmtId="2" fontId="11" fillId="5" borderId="15" xfId="1" applyNumberFormat="1" applyFont="1" applyFill="1" applyBorder="1" applyAlignment="1">
      <alignment horizontal="center" vertical="center"/>
    </xf>
    <xf numFmtId="2" fontId="11" fillId="2" borderId="13" xfId="1" applyNumberFormat="1" applyFont="1" applyFill="1" applyBorder="1" applyAlignment="1">
      <alignment horizontal="center" vertical="center"/>
    </xf>
    <xf numFmtId="2" fontId="11" fillId="2" borderId="14" xfId="1" applyNumberFormat="1" applyFont="1" applyFill="1" applyBorder="1" applyAlignment="1">
      <alignment horizontal="center" vertical="center"/>
    </xf>
    <xf numFmtId="2" fontId="11" fillId="2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Table" xfId="1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1"/>
  <sheetViews>
    <sheetView zoomScaleNormal="100" workbookViewId="0">
      <selection activeCell="A2" sqref="A2:X2"/>
    </sheetView>
  </sheetViews>
  <sheetFormatPr defaultRowHeight="12.75"/>
  <cols>
    <col min="1" max="1" width="19.28515625" style="4" bestFit="1" customWidth="1"/>
    <col min="2" max="2" width="9.140625" style="2"/>
    <col min="3" max="4" width="11.5703125" style="2" bestFit="1" customWidth="1"/>
    <col min="5" max="8" width="10.5703125" style="2" bestFit="1" customWidth="1"/>
    <col min="9" max="9" width="11.85546875" style="2" bestFit="1" customWidth="1"/>
    <col min="10" max="10" width="11.5703125" style="2" bestFit="1" customWidth="1"/>
    <col min="11" max="11" width="11.140625" style="2" bestFit="1" customWidth="1"/>
    <col min="12" max="13" width="11.28515625" style="2" bestFit="1" customWidth="1"/>
    <col min="14" max="14" width="11.85546875" style="2" bestFit="1" customWidth="1"/>
    <col min="15" max="18" width="11.140625" style="2" bestFit="1" customWidth="1"/>
    <col min="19" max="19" width="10.85546875" style="2" bestFit="1" customWidth="1"/>
    <col min="20" max="20" width="9.42578125" style="2" bestFit="1" customWidth="1"/>
    <col min="21" max="24" width="10" style="2" bestFit="1" customWidth="1"/>
    <col min="25" max="16384" width="9.140625" style="2"/>
  </cols>
  <sheetData>
    <row r="1" spans="1:24" s="101" customFormat="1" ht="21" customHeight="1" thickBot="1">
      <c r="A1" s="96" t="s">
        <v>52</v>
      </c>
      <c r="B1" s="97" t="s">
        <v>51</v>
      </c>
      <c r="C1" s="98">
        <v>1</v>
      </c>
      <c r="D1" s="98">
        <v>2</v>
      </c>
      <c r="E1" s="98">
        <v>3</v>
      </c>
      <c r="F1" s="98">
        <v>4</v>
      </c>
      <c r="G1" s="98">
        <v>5</v>
      </c>
      <c r="H1" s="98">
        <v>6</v>
      </c>
      <c r="I1" s="98">
        <v>7</v>
      </c>
      <c r="J1" s="98">
        <v>8</v>
      </c>
      <c r="K1" s="98">
        <v>9</v>
      </c>
      <c r="L1" s="98">
        <v>10</v>
      </c>
      <c r="M1" s="98">
        <v>11</v>
      </c>
      <c r="N1" s="98">
        <v>12</v>
      </c>
      <c r="O1" s="98">
        <v>13</v>
      </c>
      <c r="P1" s="98">
        <v>14</v>
      </c>
      <c r="Q1" s="98">
        <v>15</v>
      </c>
      <c r="R1" s="98">
        <v>16</v>
      </c>
      <c r="S1" s="98">
        <v>17</v>
      </c>
      <c r="T1" s="98">
        <v>18</v>
      </c>
      <c r="U1" s="98">
        <v>19</v>
      </c>
      <c r="V1" s="98">
        <v>20</v>
      </c>
      <c r="W1" s="98">
        <v>21</v>
      </c>
      <c r="X1" s="99">
        <v>22</v>
      </c>
    </row>
    <row r="2" spans="1:24" s="3" customFormat="1" ht="16.5" thickBo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/>
    </row>
    <row r="3" spans="1:24" s="3" customFormat="1" ht="15">
      <c r="A3" s="29" t="s">
        <v>58</v>
      </c>
      <c r="B3" s="30"/>
      <c r="C3" s="31" t="s">
        <v>59</v>
      </c>
      <c r="D3" s="31" t="s">
        <v>59</v>
      </c>
      <c r="E3" s="31" t="s">
        <v>60</v>
      </c>
      <c r="F3" s="31" t="s">
        <v>60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60</v>
      </c>
      <c r="L3" s="31" t="s">
        <v>60</v>
      </c>
      <c r="M3" s="31" t="s">
        <v>60</v>
      </c>
      <c r="N3" s="31" t="s">
        <v>60</v>
      </c>
      <c r="O3" s="31" t="s">
        <v>60</v>
      </c>
      <c r="P3" s="31" t="s">
        <v>60</v>
      </c>
      <c r="Q3" s="31" t="s">
        <v>59</v>
      </c>
      <c r="R3" s="31" t="s">
        <v>60</v>
      </c>
      <c r="S3" s="31" t="s">
        <v>60</v>
      </c>
      <c r="T3" s="31" t="s">
        <v>60</v>
      </c>
      <c r="U3" s="31" t="s">
        <v>60</v>
      </c>
      <c r="V3" s="31" t="s">
        <v>60</v>
      </c>
      <c r="W3" s="31" t="s">
        <v>60</v>
      </c>
      <c r="X3" s="32" t="s">
        <v>60</v>
      </c>
    </row>
    <row r="4" spans="1:24" s="3" customFormat="1" ht="15">
      <c r="A4" s="22" t="s">
        <v>2</v>
      </c>
      <c r="B4" s="5"/>
      <c r="C4" s="41">
        <v>4.6921425055408417E-2</v>
      </c>
      <c r="D4" s="41">
        <v>4.6921425055408417E-2</v>
      </c>
      <c r="E4" s="41">
        <v>0</v>
      </c>
      <c r="F4" s="41">
        <v>0</v>
      </c>
      <c r="G4" s="41">
        <v>9.3343450624711943E-2</v>
      </c>
      <c r="H4" s="41">
        <v>9.3343450624711943E-2</v>
      </c>
      <c r="I4" s="41">
        <v>9.3343450624711055E-2</v>
      </c>
      <c r="J4" s="41">
        <v>0.11924085445977872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3.3097282970261488E-2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7">
        <v>0</v>
      </c>
    </row>
    <row r="5" spans="1:24" s="3" customFormat="1" ht="15">
      <c r="A5" s="22" t="s">
        <v>3</v>
      </c>
      <c r="B5" s="6" t="s">
        <v>53</v>
      </c>
      <c r="C5" s="12">
        <v>45.135522186878291</v>
      </c>
      <c r="D5" s="12">
        <v>45.135522186878291</v>
      </c>
      <c r="E5" s="12">
        <v>45.106597346969068</v>
      </c>
      <c r="F5" s="12">
        <v>45.106597346969068</v>
      </c>
      <c r="G5" s="12">
        <v>43.378464388337022</v>
      </c>
      <c r="H5" s="12">
        <v>43.378464388337022</v>
      </c>
      <c r="I5" s="12">
        <v>43.378464388336852</v>
      </c>
      <c r="J5" s="12">
        <v>55</v>
      </c>
      <c r="K5" s="12">
        <v>54.7114193002447</v>
      </c>
      <c r="L5" s="12">
        <v>55.035774368311309</v>
      </c>
      <c r="M5" s="12">
        <v>55.053407022202578</v>
      </c>
      <c r="N5" s="12">
        <v>53.590140275517967</v>
      </c>
      <c r="O5" s="12">
        <v>53.590140275517967</v>
      </c>
      <c r="P5" s="12">
        <v>53.590140275517967</v>
      </c>
      <c r="Q5" s="12">
        <v>115</v>
      </c>
      <c r="R5" s="12">
        <v>166.22695054824129</v>
      </c>
      <c r="S5" s="12">
        <v>120.54669058802716</v>
      </c>
      <c r="T5" s="12">
        <v>109.0870862310253</v>
      </c>
      <c r="U5" s="12">
        <v>55</v>
      </c>
      <c r="V5" s="12">
        <v>55.106038548015306</v>
      </c>
      <c r="W5" s="12">
        <v>60.384803085060071</v>
      </c>
      <c r="X5" s="13">
        <v>60.420052511170923</v>
      </c>
    </row>
    <row r="6" spans="1:24" s="3" customFormat="1" ht="15">
      <c r="A6" s="22" t="s">
        <v>4</v>
      </c>
      <c r="B6" s="5" t="s">
        <v>5</v>
      </c>
      <c r="C6" s="14">
        <f>ROUND(1930.53292383635,0)</f>
        <v>1931</v>
      </c>
      <c r="D6" s="14">
        <f>ROUND(1930.53292383635,0)</f>
        <v>1931</v>
      </c>
      <c r="E6" s="14">
        <f>ROUND(1880.53292383635,0)</f>
        <v>1881</v>
      </c>
      <c r="F6" s="14">
        <f>ROUND(1880.53292383635,0)</f>
        <v>1881</v>
      </c>
      <c r="G6" s="14">
        <f>ROUND(448.15972017965,0)</f>
        <v>448</v>
      </c>
      <c r="H6" s="14">
        <f>ROUND(448.15972017965,0)</f>
        <v>448</v>
      </c>
      <c r="I6" s="14">
        <f>ROUND(448.15972017965,0)</f>
        <v>448</v>
      </c>
      <c r="J6" s="14">
        <f>ROUND(398.15972017965,0)</f>
        <v>398</v>
      </c>
      <c r="K6" s="14">
        <f>ROUND(348.15972017965,0)</f>
        <v>348</v>
      </c>
      <c r="L6" s="14">
        <f>ROUND(850,0)</f>
        <v>850</v>
      </c>
      <c r="M6" s="14">
        <f>ROUND(800,0)</f>
        <v>800</v>
      </c>
      <c r="N6" s="14">
        <f>ROUND(600,0)</f>
        <v>600</v>
      </c>
      <c r="O6" s="14">
        <f>ROUND(600,0)</f>
        <v>600</v>
      </c>
      <c r="P6" s="14">
        <f>ROUND(600,0)</f>
        <v>600</v>
      </c>
      <c r="Q6" s="14">
        <f>ROUND(550,0)</f>
        <v>550</v>
      </c>
      <c r="R6" s="14">
        <f>ROUND(448.15972017965,0)</f>
        <v>448</v>
      </c>
      <c r="S6" s="14">
        <f>ROUND(398.15972017965,0)</f>
        <v>398</v>
      </c>
      <c r="T6" s="14">
        <f>ROUND(348.15972017965,0)</f>
        <v>348</v>
      </c>
      <c r="U6" s="14">
        <f>ROUND(300.15972017965,0)</f>
        <v>300</v>
      </c>
      <c r="V6" s="14">
        <f>ROUND(0,0)</f>
        <v>0</v>
      </c>
      <c r="W6" s="14">
        <f>ROUND(8273.71128366969,0)</f>
        <v>8274</v>
      </c>
      <c r="X6" s="15">
        <f>ROUND(8173.71128366969,0)</f>
        <v>8174</v>
      </c>
    </row>
    <row r="7" spans="1:24" s="3" customFormat="1" ht="15">
      <c r="A7" s="22" t="s">
        <v>4</v>
      </c>
      <c r="B7" s="5" t="s">
        <v>61</v>
      </c>
      <c r="C7" s="14">
        <f>C6*0.145</f>
        <v>279.995</v>
      </c>
      <c r="D7" s="14">
        <f t="shared" ref="D7:H7" si="0">D6*0.145</f>
        <v>279.995</v>
      </c>
      <c r="E7" s="14">
        <f t="shared" si="0"/>
        <v>272.745</v>
      </c>
      <c r="F7" s="14">
        <f t="shared" si="0"/>
        <v>272.745</v>
      </c>
      <c r="G7" s="14">
        <f t="shared" si="0"/>
        <v>64.959999999999994</v>
      </c>
      <c r="H7" s="14">
        <f t="shared" si="0"/>
        <v>64.959999999999994</v>
      </c>
      <c r="I7" s="14">
        <f t="shared" ref="I7" si="1">I6*0.145</f>
        <v>64.959999999999994</v>
      </c>
      <c r="J7" s="14">
        <f t="shared" ref="J7" si="2">J6*0.145</f>
        <v>57.709999999999994</v>
      </c>
      <c r="K7" s="14">
        <f t="shared" ref="K7" si="3">K6*0.145</f>
        <v>50.459999999999994</v>
      </c>
      <c r="L7" s="14">
        <f t="shared" ref="L7:M7" si="4">L6*0.145</f>
        <v>123.24999999999999</v>
      </c>
      <c r="M7" s="14">
        <f t="shared" si="4"/>
        <v>115.99999999999999</v>
      </c>
      <c r="N7" s="14">
        <f t="shared" ref="N7" si="5">N6*0.145</f>
        <v>87</v>
      </c>
      <c r="O7" s="14">
        <f t="shared" ref="O7" si="6">O6*0.145</f>
        <v>87</v>
      </c>
      <c r="P7" s="14">
        <f t="shared" ref="P7" si="7">P6*0.145</f>
        <v>87</v>
      </c>
      <c r="Q7" s="14">
        <f t="shared" ref="Q7:R7" si="8">Q6*0.145</f>
        <v>79.75</v>
      </c>
      <c r="R7" s="14">
        <f t="shared" si="8"/>
        <v>64.959999999999994</v>
      </c>
      <c r="S7" s="14">
        <f t="shared" ref="S7" si="9">S6*0.145</f>
        <v>57.709999999999994</v>
      </c>
      <c r="T7" s="14">
        <f t="shared" ref="T7" si="10">T6*0.145</f>
        <v>50.459999999999994</v>
      </c>
      <c r="U7" s="14">
        <f t="shared" ref="U7" si="11">U6*0.145</f>
        <v>43.5</v>
      </c>
      <c r="V7" s="14">
        <f t="shared" ref="V7:W7" si="12">V6*0.145</f>
        <v>0</v>
      </c>
      <c r="W7" s="14">
        <f t="shared" si="12"/>
        <v>1199.73</v>
      </c>
      <c r="X7" s="14">
        <f t="shared" ref="X7" si="13">X6*0.145</f>
        <v>1185.23</v>
      </c>
    </row>
    <row r="8" spans="1:24" s="3" customFormat="1" ht="15">
      <c r="A8" s="22" t="s">
        <v>6</v>
      </c>
      <c r="B8" s="5" t="s">
        <v>7</v>
      </c>
      <c r="C8" s="16">
        <f>ROUND(172347.858344021,0)</f>
        <v>172348</v>
      </c>
      <c r="D8" s="16">
        <f>ROUND(91682.2551561738,0)</f>
        <v>91682</v>
      </c>
      <c r="E8" s="16">
        <f>ROUND(119616.514254609,0)</f>
        <v>119617</v>
      </c>
      <c r="F8" s="16">
        <f>ROUND(63631.2622979779,0)</f>
        <v>63631</v>
      </c>
      <c r="G8" s="16">
        <f>ROUND(119616.514254609,0)</f>
        <v>119617</v>
      </c>
      <c r="H8" s="16">
        <f>ROUND(63631.2622979779,0)</f>
        <v>63631</v>
      </c>
      <c r="I8" s="16">
        <f>ROUND(183247.776552587,0)</f>
        <v>183248</v>
      </c>
      <c r="J8" s="16">
        <f>ROUND(183247.776552587,0)</f>
        <v>183248</v>
      </c>
      <c r="K8" s="16">
        <f>ROUND(179492.836993928,0)</f>
        <v>179493</v>
      </c>
      <c r="L8" s="16">
        <f>ROUND(179492.836993928,0)</f>
        <v>179493</v>
      </c>
      <c r="M8" s="16">
        <f>ROUND(179492.836993928,0)</f>
        <v>179493</v>
      </c>
      <c r="N8" s="16">
        <f>ROUND(179502.329517529,0)</f>
        <v>179502</v>
      </c>
      <c r="O8" s="16">
        <f>ROUND(35900.4659035057,0)</f>
        <v>35900</v>
      </c>
      <c r="P8" s="16">
        <f>ROUND(143601.863614023,0)</f>
        <v>143602</v>
      </c>
      <c r="Q8" s="16">
        <f>ROUND(142438.406887539,0)</f>
        <v>142438</v>
      </c>
      <c r="R8" s="16">
        <f t="shared" ref="R8:X8" si="14">ROUND(176086.455360541,0)</f>
        <v>176086</v>
      </c>
      <c r="S8" s="16">
        <f t="shared" si="14"/>
        <v>176086</v>
      </c>
      <c r="T8" s="16">
        <f t="shared" si="14"/>
        <v>176086</v>
      </c>
      <c r="U8" s="16">
        <f t="shared" si="14"/>
        <v>176086</v>
      </c>
      <c r="V8" s="16">
        <f t="shared" si="14"/>
        <v>176086</v>
      </c>
      <c r="W8" s="16">
        <f t="shared" si="14"/>
        <v>176086</v>
      </c>
      <c r="X8" s="17">
        <f t="shared" si="14"/>
        <v>176086</v>
      </c>
    </row>
    <row r="9" spans="1:24" s="3" customFormat="1" ht="15">
      <c r="A9" s="22" t="s">
        <v>8</v>
      </c>
      <c r="B9" s="5" t="s">
        <v>9</v>
      </c>
      <c r="C9" s="14">
        <f>ROUND(3403.97747829109,0)</f>
        <v>3404</v>
      </c>
      <c r="D9" s="14">
        <f>ROUND(1810.78160592866,0)</f>
        <v>1811</v>
      </c>
      <c r="E9" s="14">
        <f>ROUND(533.265400174898,0)</f>
        <v>533</v>
      </c>
      <c r="F9" s="14">
        <f>ROUND(283.676135894903,0)</f>
        <v>284</v>
      </c>
      <c r="G9" s="14">
        <f>ROUND(533.265400174898,0)</f>
        <v>533</v>
      </c>
      <c r="H9" s="14">
        <f>ROUND(283.676135894903,0)</f>
        <v>284</v>
      </c>
      <c r="I9" s="14">
        <f>ROUND(816.941536069801,0)</f>
        <v>817</v>
      </c>
      <c r="J9" s="14">
        <f>ROUND(816.941536069801,0)</f>
        <v>817</v>
      </c>
      <c r="K9" s="14">
        <f>ROUND(712.36750457847,0)</f>
        <v>712</v>
      </c>
      <c r="L9" s="14">
        <f>ROUND(712.36750457847,0)</f>
        <v>712</v>
      </c>
      <c r="M9" s="14">
        <f>ROUND(712.36750457847,0)</f>
        <v>712</v>
      </c>
      <c r="N9" s="14">
        <f>ROUND(713.040127691412,0)</f>
        <v>713</v>
      </c>
      <c r="O9" s="14">
        <f>ROUND(142.608025538282,0)</f>
        <v>143</v>
      </c>
      <c r="P9" s="14">
        <f>ROUND(570.432102153129,0)</f>
        <v>570</v>
      </c>
      <c r="Q9" s="14">
        <f>ROUND(565.956848832454,0)</f>
        <v>566</v>
      </c>
      <c r="R9" s="14">
        <f t="shared" ref="R9:X9" si="15">ROUND(655.442940531894,0)</f>
        <v>655</v>
      </c>
      <c r="S9" s="14">
        <f t="shared" si="15"/>
        <v>655</v>
      </c>
      <c r="T9" s="14">
        <f t="shared" si="15"/>
        <v>655</v>
      </c>
      <c r="U9" s="14">
        <f t="shared" si="15"/>
        <v>655</v>
      </c>
      <c r="V9" s="14">
        <f t="shared" si="15"/>
        <v>655</v>
      </c>
      <c r="W9" s="14">
        <f t="shared" si="15"/>
        <v>655</v>
      </c>
      <c r="X9" s="15">
        <f t="shared" si="15"/>
        <v>655</v>
      </c>
    </row>
    <row r="10" spans="1:24" s="3" customFormat="1" ht="15">
      <c r="A10" s="22" t="s">
        <v>10</v>
      </c>
      <c r="B10" s="5"/>
      <c r="C10" s="12">
        <f>ROUND(50.6313157014616,1)</f>
        <v>50.6</v>
      </c>
      <c r="D10" s="12">
        <f>ROUND(50.6313157014616,1)</f>
        <v>50.6</v>
      </c>
      <c r="E10" s="12">
        <f t="shared" ref="E10:J10" si="16">ROUND(224.309535580928,1)</f>
        <v>224.3</v>
      </c>
      <c r="F10" s="12">
        <f t="shared" si="16"/>
        <v>224.3</v>
      </c>
      <c r="G10" s="12">
        <f t="shared" si="16"/>
        <v>224.3</v>
      </c>
      <c r="H10" s="12">
        <f t="shared" si="16"/>
        <v>224.3</v>
      </c>
      <c r="I10" s="12">
        <f t="shared" si="16"/>
        <v>224.3</v>
      </c>
      <c r="J10" s="12">
        <f t="shared" si="16"/>
        <v>224.3</v>
      </c>
      <c r="K10" s="12">
        <f>ROUND(251.966626552034,1)</f>
        <v>252</v>
      </c>
      <c r="L10" s="12">
        <f>ROUND(251.966626552034,1)</f>
        <v>252</v>
      </c>
      <c r="M10" s="12">
        <f>ROUND(251.966626552034,1)</f>
        <v>252</v>
      </c>
      <c r="N10" s="12">
        <f>ROUND(251.742254813482,1)</f>
        <v>251.7</v>
      </c>
      <c r="O10" s="12">
        <f>ROUND(251.742254813482,1)</f>
        <v>251.7</v>
      </c>
      <c r="P10" s="12">
        <f>ROUND(251.742254813482,1)</f>
        <v>251.7</v>
      </c>
      <c r="Q10" s="12">
        <f>ROUND(251.677150265756,1)</f>
        <v>251.7</v>
      </c>
      <c r="R10" s="12">
        <f t="shared" ref="R10:X10" si="17">ROUND(268.652607986969,1)</f>
        <v>268.7</v>
      </c>
      <c r="S10" s="12">
        <f t="shared" si="17"/>
        <v>268.7</v>
      </c>
      <c r="T10" s="12">
        <f t="shared" si="17"/>
        <v>268.7</v>
      </c>
      <c r="U10" s="12">
        <f t="shared" si="17"/>
        <v>268.7</v>
      </c>
      <c r="V10" s="12">
        <f t="shared" si="17"/>
        <v>268.7</v>
      </c>
      <c r="W10" s="12">
        <f t="shared" si="17"/>
        <v>268.7</v>
      </c>
      <c r="X10" s="13">
        <f t="shared" si="17"/>
        <v>268.7</v>
      </c>
    </row>
    <row r="11" spans="1:24" s="3" customFormat="1" ht="15">
      <c r="A11" s="22" t="s">
        <v>11</v>
      </c>
      <c r="B11" s="5" t="s">
        <v>12</v>
      </c>
      <c r="C11" s="16">
        <f>ROUND(-288050.947470338,0)</f>
        <v>-288051</v>
      </c>
      <c r="D11" s="16">
        <f>ROUND(-153231.729814931,0)</f>
        <v>-153232</v>
      </c>
      <c r="E11" s="16">
        <f>ROUND(-70669.5664670415,0)</f>
        <v>-70670</v>
      </c>
      <c r="F11" s="16">
        <f>ROUND(-37593.4188382808,0)</f>
        <v>-37593</v>
      </c>
      <c r="G11" s="16">
        <f>ROUND(-70669.5664670415,0)</f>
        <v>-70670</v>
      </c>
      <c r="H11" s="16">
        <f>ROUND(-37593.4188382808,0)</f>
        <v>-37593</v>
      </c>
      <c r="I11" s="16">
        <f>ROUND(-108262.985305322,0)</f>
        <v>-108263</v>
      </c>
      <c r="J11" s="16">
        <f>ROUND(-107024.018129343,0)</f>
        <v>-107024</v>
      </c>
      <c r="K11" s="16">
        <f>ROUND(-104186.804495293,0)</f>
        <v>-104187</v>
      </c>
      <c r="L11" s="16">
        <f>ROUND(-104137.558281788,0)</f>
        <v>-104138</v>
      </c>
      <c r="M11" s="16">
        <f>ROUND(-104137.558281788,0)</f>
        <v>-104138</v>
      </c>
      <c r="N11" s="16">
        <f>ROUND(-104342.113562113,0)</f>
        <v>-104342</v>
      </c>
      <c r="O11" s="16">
        <f>ROUND(-20868.4227124226,0)</f>
        <v>-20868</v>
      </c>
      <c r="P11" s="16">
        <f>ROUND(-83473.6908496902,0)</f>
        <v>-83474</v>
      </c>
      <c r="Q11" s="16">
        <f>ROUND(-77647.7888583803,0)</f>
        <v>-77648</v>
      </c>
      <c r="R11" s="16">
        <f>ROUND(-89897.8770870344,0)</f>
        <v>-89898</v>
      </c>
      <c r="S11" s="16">
        <f>ROUND(-95087.130497725,0)</f>
        <v>-95087</v>
      </c>
      <c r="T11" s="16">
        <f>ROUND(-96326.0976737039,0)</f>
        <v>-96326</v>
      </c>
      <c r="U11" s="16">
        <f>ROUND(-101816.403308343,0)</f>
        <v>-101816</v>
      </c>
      <c r="V11" s="16">
        <f>ROUND(-101816.403308343,0)</f>
        <v>-101816</v>
      </c>
      <c r="W11" s="16">
        <f>ROUND(-101025.123954974,0)</f>
        <v>-101025</v>
      </c>
      <c r="X11" s="17">
        <f>ROUND(-101025.123954974,0)</f>
        <v>-101025</v>
      </c>
    </row>
    <row r="12" spans="1:24" s="3" customFormat="1" ht="15">
      <c r="A12" s="22" t="s">
        <v>13</v>
      </c>
      <c r="B12" s="5" t="s">
        <v>54</v>
      </c>
      <c r="C12" s="12">
        <v>2.6173549354645518</v>
      </c>
      <c r="D12" s="12">
        <v>2.6173549354645518</v>
      </c>
      <c r="E12" s="12">
        <v>1.9421662444715431</v>
      </c>
      <c r="F12" s="12">
        <v>1.9421662444715431</v>
      </c>
      <c r="G12" s="12">
        <v>1.9250709046599921</v>
      </c>
      <c r="H12" s="12">
        <v>1.9250709046599921</v>
      </c>
      <c r="I12" s="12">
        <v>1.9250709046599945</v>
      </c>
      <c r="J12" s="12">
        <v>1.9697829571873686</v>
      </c>
      <c r="K12" s="12">
        <v>1.9696097501295136</v>
      </c>
      <c r="L12" s="12">
        <v>1.9706197656694111</v>
      </c>
      <c r="M12" s="12">
        <v>1.9707253648237866</v>
      </c>
      <c r="N12" s="12">
        <v>1.9649270735552762</v>
      </c>
      <c r="O12" s="12">
        <v>1.9649270735552762</v>
      </c>
      <c r="P12" s="12">
        <v>1.9649270735552762</v>
      </c>
      <c r="Q12" s="12">
        <v>2.2118786158357233</v>
      </c>
      <c r="R12" s="12">
        <v>2.4126235626496366</v>
      </c>
      <c r="S12" s="12">
        <v>2.230577648958366</v>
      </c>
      <c r="T12" s="12">
        <v>2.1845027482174015</v>
      </c>
      <c r="U12" s="12">
        <v>1.9641534779479544</v>
      </c>
      <c r="V12" s="12">
        <v>1.9647688450296625</v>
      </c>
      <c r="W12" s="12">
        <v>1.9817553803388854</v>
      </c>
      <c r="X12" s="13">
        <v>1.9819506118099441</v>
      </c>
    </row>
    <row r="13" spans="1:24" s="3" customFormat="1" ht="15">
      <c r="A13" s="22" t="s">
        <v>14</v>
      </c>
      <c r="B13" s="5" t="s">
        <v>55</v>
      </c>
      <c r="C13" s="12">
        <v>450.18116482287951</v>
      </c>
      <c r="D13" s="12">
        <v>450.18116482287951</v>
      </c>
      <c r="E13" s="12">
        <v>844.93323491836964</v>
      </c>
      <c r="F13" s="12">
        <v>844.93323491836964</v>
      </c>
      <c r="G13" s="12">
        <v>325.88270857068113</v>
      </c>
      <c r="H13" s="12">
        <v>325.88270857068113</v>
      </c>
      <c r="I13" s="12">
        <v>325.88270857068289</v>
      </c>
      <c r="J13" s="12">
        <v>253.0719882781257</v>
      </c>
      <c r="K13" s="12">
        <v>846.81012839963591</v>
      </c>
      <c r="L13" s="12">
        <v>846.96323311378808</v>
      </c>
      <c r="M13" s="12">
        <v>846.90567974219255</v>
      </c>
      <c r="N13" s="12">
        <v>847.92856389320082</v>
      </c>
      <c r="O13" s="12">
        <v>847.92856389320082</v>
      </c>
      <c r="P13" s="12">
        <v>847.92856389320082</v>
      </c>
      <c r="Q13" s="12">
        <v>537.05549984805828</v>
      </c>
      <c r="R13" s="12">
        <v>756.83850826372475</v>
      </c>
      <c r="S13" s="12">
        <v>797.34104731815034</v>
      </c>
      <c r="T13" s="12">
        <v>807.19167187146479</v>
      </c>
      <c r="U13" s="12">
        <v>852.72203652850362</v>
      </c>
      <c r="V13" s="12">
        <v>852.39860028912335</v>
      </c>
      <c r="W13" s="12">
        <v>854.43138364875176</v>
      </c>
      <c r="X13" s="13">
        <v>854.32753727869238</v>
      </c>
    </row>
    <row r="14" spans="1:24" s="3" customFormat="1" ht="15.75" thickBot="1">
      <c r="A14" s="24"/>
      <c r="B14" s="25"/>
      <c r="C14" s="26"/>
      <c r="D14" s="26"/>
      <c r="E14" s="27"/>
      <c r="F14" s="27"/>
      <c r="G14" s="27"/>
      <c r="H14" s="2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8"/>
    </row>
    <row r="15" spans="1:24" s="3" customFormat="1" ht="16.5" thickBot="1">
      <c r="A15" s="113" t="s">
        <v>15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24" s="3" customFormat="1" ht="15">
      <c r="A16" s="29" t="s">
        <v>16</v>
      </c>
      <c r="B16" s="30" t="s">
        <v>17</v>
      </c>
      <c r="C16" s="31">
        <f>ROUND(3.77647688420802,2)</f>
        <v>3.78</v>
      </c>
      <c r="D16" s="31">
        <f>ROUND(2.00893658102925,2)</f>
        <v>2.0099999999999998</v>
      </c>
      <c r="E16" s="12" t="s">
        <v>19</v>
      </c>
      <c r="F16" s="12" t="s">
        <v>19</v>
      </c>
      <c r="G16" s="31">
        <f>ROUND(1.17694513153703,2)</f>
        <v>1.18</v>
      </c>
      <c r="H16" s="31">
        <f>ROUND(0.626088336061634,2)</f>
        <v>0.63</v>
      </c>
      <c r="I16" s="31">
        <f>ROUND(1.80303346759865,2)</f>
        <v>1.8</v>
      </c>
      <c r="J16" s="31">
        <f>ROUND(2.30327087607285,2)</f>
        <v>2.2999999999999998</v>
      </c>
      <c r="K16" s="12" t="s">
        <v>19</v>
      </c>
      <c r="L16" s="12" t="s">
        <v>19</v>
      </c>
      <c r="M16" s="12" t="s">
        <v>19</v>
      </c>
      <c r="N16" s="12" t="s">
        <v>19</v>
      </c>
      <c r="O16" s="12" t="s">
        <v>19</v>
      </c>
      <c r="P16" s="12" t="s">
        <v>19</v>
      </c>
      <c r="Q16" s="31">
        <f>ROUND(0.442898920691762,2)</f>
        <v>0.44</v>
      </c>
      <c r="R16" s="12" t="s">
        <v>19</v>
      </c>
      <c r="S16" s="12" t="s">
        <v>19</v>
      </c>
      <c r="T16" s="12" t="s">
        <v>19</v>
      </c>
      <c r="U16" s="12" t="s">
        <v>19</v>
      </c>
      <c r="V16" s="12" t="s">
        <v>19</v>
      </c>
      <c r="W16" s="12" t="s">
        <v>19</v>
      </c>
      <c r="X16" s="12" t="s">
        <v>19</v>
      </c>
    </row>
    <row r="17" spans="1:24" s="3" customFormat="1" ht="15">
      <c r="A17" s="22" t="s">
        <v>18</v>
      </c>
      <c r="B17" s="5" t="s">
        <v>9</v>
      </c>
      <c r="C17" s="14">
        <f>ROUND(159.719474137934,0)</f>
        <v>160</v>
      </c>
      <c r="D17" s="14">
        <f>ROUND(84.9644534142938,0)</f>
        <v>85</v>
      </c>
      <c r="E17" s="14" t="s">
        <v>19</v>
      </c>
      <c r="F17" s="14" t="s">
        <v>19</v>
      </c>
      <c r="G17" s="14">
        <f>ROUND(49.7768325510929,0)</f>
        <v>50</v>
      </c>
      <c r="H17" s="14">
        <f>ROUND(26.479309384315,0)</f>
        <v>26</v>
      </c>
      <c r="I17" s="14">
        <f>ROUND(76.2561419354071,0)</f>
        <v>76</v>
      </c>
      <c r="J17" s="14">
        <f>ROUND(97.4128068046473,0)</f>
        <v>97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>
        <f>ROUND(18.7316339747652,0)</f>
        <v>19</v>
      </c>
      <c r="R17" s="12" t="s">
        <v>19</v>
      </c>
      <c r="S17" s="12" t="s">
        <v>19</v>
      </c>
      <c r="T17" s="12" t="s">
        <v>19</v>
      </c>
      <c r="U17" s="12" t="s">
        <v>19</v>
      </c>
      <c r="V17" s="12" t="s">
        <v>19</v>
      </c>
      <c r="W17" s="12" t="s">
        <v>19</v>
      </c>
      <c r="X17" s="13" t="s">
        <v>19</v>
      </c>
    </row>
    <row r="18" spans="1:24" s="3" customFormat="1" ht="15">
      <c r="A18" s="22" t="s">
        <v>20</v>
      </c>
      <c r="B18" s="5" t="s">
        <v>56</v>
      </c>
      <c r="C18" s="14">
        <f>ROUND(191.965242792187,0)</f>
        <v>192</v>
      </c>
      <c r="D18" s="14">
        <f>ROUND(102.117929052878,0)</f>
        <v>102</v>
      </c>
      <c r="E18" s="14" t="s">
        <v>19</v>
      </c>
      <c r="F18" s="14" t="s">
        <v>19</v>
      </c>
      <c r="G18" s="14">
        <f>ROUND(228.765141544793,0)</f>
        <v>229</v>
      </c>
      <c r="H18" s="14">
        <f>ROUND(121.694022075299,0)</f>
        <v>122</v>
      </c>
      <c r="I18" s="14">
        <f>ROUND(350.459163620089,0)</f>
        <v>350</v>
      </c>
      <c r="J18" s="14">
        <f>ROUND(511.482741924404,0)</f>
        <v>511</v>
      </c>
      <c r="K18" s="12" t="s">
        <v>19</v>
      </c>
      <c r="L18" s="12" t="s">
        <v>19</v>
      </c>
      <c r="M18" s="12" t="s">
        <v>19</v>
      </c>
      <c r="N18" s="12" t="s">
        <v>19</v>
      </c>
      <c r="O18" s="12" t="s">
        <v>19</v>
      </c>
      <c r="P18" s="12" t="s">
        <v>19</v>
      </c>
      <c r="Q18" s="12">
        <f>ROUND(87.8117802460282,0)</f>
        <v>88</v>
      </c>
      <c r="R18" s="12" t="s">
        <v>19</v>
      </c>
      <c r="S18" s="12" t="s">
        <v>19</v>
      </c>
      <c r="T18" s="12" t="s">
        <v>19</v>
      </c>
      <c r="U18" s="12" t="s">
        <v>19</v>
      </c>
      <c r="V18" s="12" t="s">
        <v>19</v>
      </c>
      <c r="W18" s="12" t="s">
        <v>19</v>
      </c>
      <c r="X18" s="13" t="s">
        <v>19</v>
      </c>
    </row>
    <row r="19" spans="1:24" s="3" customFormat="1" ht="15">
      <c r="A19" s="22" t="s">
        <v>21</v>
      </c>
      <c r="B19" s="5" t="s">
        <v>7</v>
      </c>
      <c r="C19" s="14">
        <f>ROUND(3842.92903017202,0)</f>
        <v>3843</v>
      </c>
      <c r="D19" s="14">
        <f>ROUND(2044.28649869278,0)</f>
        <v>2044</v>
      </c>
      <c r="E19" s="14" t="s">
        <v>19</v>
      </c>
      <c r="F19" s="14" t="s">
        <v>19</v>
      </c>
      <c r="G19" s="14">
        <f>ROUND(1620.59556974096,0)</f>
        <v>1621</v>
      </c>
      <c r="H19" s="14">
        <f>ROUND(862.092850805127,0)</f>
        <v>862</v>
      </c>
      <c r="I19" s="14">
        <f>ROUND(2482.68842054606,0)</f>
        <v>2483</v>
      </c>
      <c r="J19" s="14">
        <f>ROUND(3431.34352572361,0)</f>
        <v>3431</v>
      </c>
      <c r="K19" s="12" t="s">
        <v>19</v>
      </c>
      <c r="L19" s="12" t="s">
        <v>19</v>
      </c>
      <c r="M19" s="12" t="s">
        <v>19</v>
      </c>
      <c r="N19" s="12" t="s">
        <v>19</v>
      </c>
      <c r="O19" s="12" t="s">
        <v>19</v>
      </c>
      <c r="P19" s="12" t="s">
        <v>19</v>
      </c>
      <c r="Q19" s="12">
        <f>ROUND(865.577943680255,0)</f>
        <v>866</v>
      </c>
      <c r="R19" s="12" t="s">
        <v>19</v>
      </c>
      <c r="S19" s="12" t="s">
        <v>19</v>
      </c>
      <c r="T19" s="12" t="s">
        <v>19</v>
      </c>
      <c r="U19" s="12" t="s">
        <v>19</v>
      </c>
      <c r="V19" s="12" t="s">
        <v>19</v>
      </c>
      <c r="W19" s="12" t="s">
        <v>19</v>
      </c>
      <c r="X19" s="13" t="s">
        <v>19</v>
      </c>
    </row>
    <row r="20" spans="1:24" s="3" customFormat="1" ht="15">
      <c r="A20" s="22" t="s">
        <v>22</v>
      </c>
      <c r="B20" s="5"/>
      <c r="C20" s="12">
        <v>24.060491376607409</v>
      </c>
      <c r="D20" s="12">
        <v>24.060491376607409</v>
      </c>
      <c r="E20" s="12" t="s">
        <v>19</v>
      </c>
      <c r="F20" s="12" t="s">
        <v>19</v>
      </c>
      <c r="G20" s="12">
        <v>32.557225654676209</v>
      </c>
      <c r="H20" s="12">
        <v>32.557225654676209</v>
      </c>
      <c r="I20" s="12">
        <v>32.557225654676138</v>
      </c>
      <c r="J20" s="12">
        <v>35.224768059551636</v>
      </c>
      <c r="K20" s="12" t="s">
        <v>19</v>
      </c>
      <c r="L20" s="12" t="s">
        <v>19</v>
      </c>
      <c r="M20" s="12" t="s">
        <v>19</v>
      </c>
      <c r="N20" s="12" t="s">
        <v>19</v>
      </c>
      <c r="O20" s="12" t="s">
        <v>19</v>
      </c>
      <c r="P20" s="12" t="s">
        <v>19</v>
      </c>
      <c r="Q20" s="12">
        <v>46.209420109657202</v>
      </c>
      <c r="R20" s="12" t="s">
        <v>19</v>
      </c>
      <c r="S20" s="12" t="s">
        <v>19</v>
      </c>
      <c r="T20" s="12" t="s">
        <v>19</v>
      </c>
      <c r="U20" s="12" t="s">
        <v>19</v>
      </c>
      <c r="V20" s="12" t="s">
        <v>19</v>
      </c>
      <c r="W20" s="12" t="s">
        <v>19</v>
      </c>
      <c r="X20" s="13" t="s">
        <v>19</v>
      </c>
    </row>
    <row r="21" spans="1:24" s="3" customFormat="1" ht="15">
      <c r="A21" s="22" t="s">
        <v>23</v>
      </c>
      <c r="B21" s="5" t="s">
        <v>54</v>
      </c>
      <c r="C21" s="41">
        <v>2.0856163028678982</v>
      </c>
      <c r="D21" s="41">
        <v>2.0856163028678982</v>
      </c>
      <c r="E21" s="12" t="s">
        <v>19</v>
      </c>
      <c r="F21" s="12" t="s">
        <v>19</v>
      </c>
      <c r="G21" s="41">
        <v>1.8458285464881277</v>
      </c>
      <c r="H21" s="41">
        <v>1.8458285464881277</v>
      </c>
      <c r="I21" s="41">
        <v>1.845828546488129</v>
      </c>
      <c r="J21" s="41">
        <v>1.869464134054859</v>
      </c>
      <c r="K21" s="12" t="s">
        <v>19</v>
      </c>
      <c r="L21" s="12" t="s">
        <v>19</v>
      </c>
      <c r="M21" s="12" t="s">
        <v>19</v>
      </c>
      <c r="N21" s="12" t="s">
        <v>19</v>
      </c>
      <c r="O21" s="12" t="s">
        <v>19</v>
      </c>
      <c r="P21" s="12" t="s">
        <v>19</v>
      </c>
      <c r="Q21" s="12">
        <v>2.0896541180887143</v>
      </c>
      <c r="R21" s="12" t="s">
        <v>19</v>
      </c>
      <c r="S21" s="12" t="s">
        <v>19</v>
      </c>
      <c r="T21" s="12" t="s">
        <v>19</v>
      </c>
      <c r="U21" s="12" t="s">
        <v>19</v>
      </c>
      <c r="V21" s="12" t="s">
        <v>19</v>
      </c>
      <c r="W21" s="12" t="s">
        <v>19</v>
      </c>
      <c r="X21" s="13" t="s">
        <v>19</v>
      </c>
    </row>
    <row r="22" spans="1:24" s="3" customFormat="1" ht="15">
      <c r="A22" s="22" t="s">
        <v>24</v>
      </c>
      <c r="B22" s="5"/>
      <c r="C22" s="41">
        <v>0.92281458077642853</v>
      </c>
      <c r="D22" s="41">
        <v>0.92281458077642853</v>
      </c>
      <c r="E22" s="12" t="s">
        <v>19</v>
      </c>
      <c r="F22" s="12" t="s">
        <v>19</v>
      </c>
      <c r="G22" s="41">
        <v>0.95957451474686628</v>
      </c>
      <c r="H22" s="41">
        <v>0.95957451474686628</v>
      </c>
      <c r="I22" s="41">
        <v>0.95957451474686772</v>
      </c>
      <c r="J22" s="41">
        <v>0.96125362510752588</v>
      </c>
      <c r="K22" s="12" t="s">
        <v>19</v>
      </c>
      <c r="L22" s="12" t="s">
        <v>19</v>
      </c>
      <c r="M22" s="12" t="s">
        <v>19</v>
      </c>
      <c r="N22" s="12" t="s">
        <v>19</v>
      </c>
      <c r="O22" s="12" t="s">
        <v>19</v>
      </c>
      <c r="P22" s="12" t="s">
        <v>19</v>
      </c>
      <c r="Q22" s="12">
        <v>0.94612504984445267</v>
      </c>
      <c r="R22" s="12" t="s">
        <v>19</v>
      </c>
      <c r="S22" s="12" t="s">
        <v>19</v>
      </c>
      <c r="T22" s="12" t="s">
        <v>19</v>
      </c>
      <c r="U22" s="12" t="s">
        <v>19</v>
      </c>
      <c r="V22" s="12" t="s">
        <v>19</v>
      </c>
      <c r="W22" s="12" t="s">
        <v>19</v>
      </c>
      <c r="X22" s="13" t="s">
        <v>19</v>
      </c>
    </row>
    <row r="23" spans="1:24" s="3" customFormat="1" ht="15">
      <c r="A23" s="22" t="s">
        <v>25</v>
      </c>
      <c r="B23" s="5" t="s">
        <v>57</v>
      </c>
      <c r="C23" s="41">
        <v>3.1649252427800784E-2</v>
      </c>
      <c r="D23" s="41">
        <v>3.1649252427800784E-2</v>
      </c>
      <c r="E23" s="12" t="s">
        <v>19</v>
      </c>
      <c r="F23" s="12" t="s">
        <v>19</v>
      </c>
      <c r="G23" s="41">
        <v>2.4878965377211848E-2</v>
      </c>
      <c r="H23" s="41">
        <v>2.4878965377211848E-2</v>
      </c>
      <c r="I23" s="41">
        <v>2.4878965377211851E-2</v>
      </c>
      <c r="J23" s="41">
        <v>2.504561585296074E-2</v>
      </c>
      <c r="K23" s="12" t="s">
        <v>19</v>
      </c>
      <c r="L23" s="12" t="s">
        <v>19</v>
      </c>
      <c r="M23" s="12" t="s">
        <v>19</v>
      </c>
      <c r="N23" s="12" t="s">
        <v>19</v>
      </c>
      <c r="O23" s="12" t="s">
        <v>19</v>
      </c>
      <c r="P23" s="12" t="s">
        <v>19</v>
      </c>
      <c r="Q23" s="12">
        <v>2.7815268100540681E-2</v>
      </c>
      <c r="R23" s="12" t="s">
        <v>19</v>
      </c>
      <c r="S23" s="12" t="s">
        <v>19</v>
      </c>
      <c r="T23" s="12" t="s">
        <v>19</v>
      </c>
      <c r="U23" s="12" t="s">
        <v>19</v>
      </c>
      <c r="V23" s="12" t="s">
        <v>19</v>
      </c>
      <c r="W23" s="12" t="s">
        <v>19</v>
      </c>
      <c r="X23" s="13" t="s">
        <v>19</v>
      </c>
    </row>
    <row r="24" spans="1:24" s="3" customFormat="1" ht="15">
      <c r="A24" s="22" t="s">
        <v>26</v>
      </c>
      <c r="B24" s="5" t="s">
        <v>27</v>
      </c>
      <c r="C24" s="41">
        <v>1.2103572400838477E-2</v>
      </c>
      <c r="D24" s="41">
        <v>1.2103572400838477E-2</v>
      </c>
      <c r="E24" s="12" t="s">
        <v>19</v>
      </c>
      <c r="F24" s="12" t="s">
        <v>19</v>
      </c>
      <c r="G24" s="41">
        <v>1.0637838353398864E-2</v>
      </c>
      <c r="H24" s="41">
        <v>1.0637838353398864E-2</v>
      </c>
      <c r="I24" s="41">
        <v>1.063783835339913E-2</v>
      </c>
      <c r="J24" s="41">
        <v>1.0715672483635674E-2</v>
      </c>
      <c r="K24" s="12" t="s">
        <v>19</v>
      </c>
      <c r="L24" s="12" t="s">
        <v>19</v>
      </c>
      <c r="M24" s="12" t="s">
        <v>19</v>
      </c>
      <c r="N24" s="12" t="s">
        <v>19</v>
      </c>
      <c r="O24" s="12" t="s">
        <v>19</v>
      </c>
      <c r="P24" s="12" t="s">
        <v>19</v>
      </c>
      <c r="Q24" s="12">
        <v>1.1337470488768733E-2</v>
      </c>
      <c r="R24" s="12" t="s">
        <v>19</v>
      </c>
      <c r="S24" s="12" t="s">
        <v>19</v>
      </c>
      <c r="T24" s="12" t="s">
        <v>19</v>
      </c>
      <c r="U24" s="12" t="s">
        <v>19</v>
      </c>
      <c r="V24" s="12" t="s">
        <v>19</v>
      </c>
      <c r="W24" s="12" t="s">
        <v>19</v>
      </c>
      <c r="X24" s="13" t="s">
        <v>19</v>
      </c>
    </row>
    <row r="25" spans="1:24" s="3" customFormat="1" ht="15">
      <c r="A25" s="22" t="s">
        <v>28</v>
      </c>
      <c r="B25" s="5" t="s">
        <v>55</v>
      </c>
      <c r="C25" s="41">
        <v>20.018879325629769</v>
      </c>
      <c r="D25" s="41">
        <v>20.018879325629769</v>
      </c>
      <c r="E25" s="12" t="s">
        <v>19</v>
      </c>
      <c r="F25" s="12" t="s">
        <v>19</v>
      </c>
      <c r="G25" s="41">
        <v>7.0841018819453652</v>
      </c>
      <c r="H25" s="41">
        <v>7.0841018819453652</v>
      </c>
      <c r="I25" s="41">
        <v>7.0841018819453438</v>
      </c>
      <c r="J25" s="41">
        <v>6.7086203393950576</v>
      </c>
      <c r="K25" s="12" t="s">
        <v>19</v>
      </c>
      <c r="L25" s="12" t="s">
        <v>19</v>
      </c>
      <c r="M25" s="12" t="s">
        <v>19</v>
      </c>
      <c r="N25" s="12" t="s">
        <v>19</v>
      </c>
      <c r="O25" s="12" t="s">
        <v>19</v>
      </c>
      <c r="P25" s="12" t="s">
        <v>19</v>
      </c>
      <c r="Q25" s="12">
        <v>9.8571961672466593</v>
      </c>
      <c r="R25" s="12" t="s">
        <v>19</v>
      </c>
      <c r="S25" s="12" t="s">
        <v>19</v>
      </c>
      <c r="T25" s="12" t="s">
        <v>19</v>
      </c>
      <c r="U25" s="12" t="s">
        <v>19</v>
      </c>
      <c r="V25" s="12" t="s">
        <v>19</v>
      </c>
      <c r="W25" s="12" t="s">
        <v>19</v>
      </c>
      <c r="X25" s="13" t="s">
        <v>19</v>
      </c>
    </row>
    <row r="26" spans="1:24" s="3" customFormat="1" ht="15">
      <c r="A26" s="22" t="s">
        <v>29</v>
      </c>
      <c r="B26" s="5"/>
      <c r="C26" s="41">
        <v>1.1985814440827927</v>
      </c>
      <c r="D26" s="41">
        <v>1.1985814440827927</v>
      </c>
      <c r="E26" s="12" t="s">
        <v>19</v>
      </c>
      <c r="F26" s="12" t="s">
        <v>19</v>
      </c>
      <c r="G26" s="41">
        <v>1.1605606482505524</v>
      </c>
      <c r="H26" s="41">
        <v>1.1605606482505524</v>
      </c>
      <c r="I26" s="41">
        <v>1.1605606482505526</v>
      </c>
      <c r="J26" s="41">
        <v>1.1444972165113538</v>
      </c>
      <c r="K26" s="12" t="s">
        <v>19</v>
      </c>
      <c r="L26" s="12" t="s">
        <v>19</v>
      </c>
      <c r="M26" s="12" t="s">
        <v>19</v>
      </c>
      <c r="N26" s="12" t="s">
        <v>19</v>
      </c>
      <c r="O26" s="12" t="s">
        <v>19</v>
      </c>
      <c r="P26" s="12" t="s">
        <v>19</v>
      </c>
      <c r="Q26" s="12">
        <v>1.0942120817475141</v>
      </c>
      <c r="R26" s="12" t="s">
        <v>19</v>
      </c>
      <c r="S26" s="12" t="s">
        <v>19</v>
      </c>
      <c r="T26" s="12" t="s">
        <v>19</v>
      </c>
      <c r="U26" s="12" t="s">
        <v>19</v>
      </c>
      <c r="V26" s="12" t="s">
        <v>19</v>
      </c>
      <c r="W26" s="12" t="s">
        <v>19</v>
      </c>
      <c r="X26" s="13" t="s">
        <v>19</v>
      </c>
    </row>
    <row r="27" spans="1:24" s="3" customFormat="1" ht="15">
      <c r="A27" s="22"/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</row>
    <row r="28" spans="1:24" s="3" customFormat="1" ht="15.75" thickBot="1">
      <c r="A28" s="33"/>
      <c r="B28" s="34"/>
      <c r="C28" s="27"/>
      <c r="D28" s="27"/>
      <c r="E28" s="27"/>
      <c r="F28" s="27"/>
      <c r="G28" s="27"/>
      <c r="H28" s="27"/>
      <c r="I28" s="27"/>
      <c r="J28" s="26"/>
      <c r="K28" s="26"/>
      <c r="L28" s="26"/>
      <c r="M28" s="27"/>
      <c r="N28" s="27"/>
      <c r="O28" s="27"/>
      <c r="P28" s="26"/>
      <c r="Q28" s="26"/>
      <c r="R28" s="26"/>
      <c r="S28" s="26"/>
      <c r="T28" s="27"/>
      <c r="U28" s="26"/>
      <c r="V28" s="27"/>
      <c r="W28" s="27"/>
      <c r="X28" s="28"/>
    </row>
    <row r="29" spans="1:24" s="3" customFormat="1" ht="16.5" thickBot="1">
      <c r="A29" s="113" t="s">
        <v>30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</row>
    <row r="30" spans="1:24" s="3" customFormat="1" ht="15">
      <c r="A30" s="29" t="s">
        <v>21</v>
      </c>
      <c r="B30" s="30" t="s">
        <v>7</v>
      </c>
      <c r="C30" s="103">
        <f>ROUND( 119670.547629482,0)</f>
        <v>119671</v>
      </c>
      <c r="D30" s="103">
        <f>ROUND( 63660.0059197996,0)</f>
        <v>63660</v>
      </c>
      <c r="E30" s="103">
        <f>ROUND( 119616.514254609,0)</f>
        <v>119617</v>
      </c>
      <c r="F30" s="103">
        <f>ROUND( 63631.2622979779,0)</f>
        <v>63631</v>
      </c>
      <c r="G30" s="103">
        <f>ROUND( 117995.918684869,0)</f>
        <v>117996</v>
      </c>
      <c r="H30" s="103">
        <f>ROUND( 62769.169447173,0)</f>
        <v>62769</v>
      </c>
      <c r="I30" s="103">
        <f>ROUND( 180765.088132042,0)</f>
        <v>180765</v>
      </c>
      <c r="J30" s="103">
        <f>ROUND( 179816.433026865,0)</f>
        <v>179816</v>
      </c>
      <c r="K30" s="103">
        <f>ROUND( 179492.836993928,0)</f>
        <v>179493</v>
      </c>
      <c r="L30" s="103">
        <f>ROUND( 179492.836993928,0)</f>
        <v>179493</v>
      </c>
      <c r="M30" s="103">
        <f>ROUND( 179492.836993928,0)</f>
        <v>179493</v>
      </c>
      <c r="N30" s="103">
        <f>ROUND( 179502.329517529,0)</f>
        <v>179502</v>
      </c>
      <c r="O30" s="103">
        <f>ROUND( 35900.4659035057,0)</f>
        <v>35900</v>
      </c>
      <c r="P30" s="103">
        <f>ROUND( 143601.863614023,0)</f>
        <v>143602</v>
      </c>
      <c r="Q30" s="103">
        <f>ROUND( 141572.828943859,0)</f>
        <v>141573</v>
      </c>
      <c r="R30" s="103">
        <f t="shared" ref="R30:X30" si="18">ROUND( 176086.455360541,0)</f>
        <v>176086</v>
      </c>
      <c r="S30" s="103">
        <f t="shared" si="18"/>
        <v>176086</v>
      </c>
      <c r="T30" s="103">
        <f t="shared" si="18"/>
        <v>176086</v>
      </c>
      <c r="U30" s="103">
        <f t="shared" si="18"/>
        <v>176086</v>
      </c>
      <c r="V30" s="103">
        <f t="shared" si="18"/>
        <v>176086</v>
      </c>
      <c r="W30" s="103">
        <f t="shared" si="18"/>
        <v>176086</v>
      </c>
      <c r="X30" s="104">
        <f t="shared" si="18"/>
        <v>176086</v>
      </c>
    </row>
    <row r="31" spans="1:24" s="3" customFormat="1" ht="15">
      <c r="A31" s="22" t="s">
        <v>31</v>
      </c>
      <c r="B31" s="7" t="s">
        <v>32</v>
      </c>
      <c r="C31" s="14">
        <f>ROUND( 138.972433898871,0)</f>
        <v>139</v>
      </c>
      <c r="D31" s="14">
        <f>ROUND( 73.9278472434396,0)</f>
        <v>74</v>
      </c>
      <c r="E31" s="14">
        <f>ROUND( 138.846646905446,0)</f>
        <v>139</v>
      </c>
      <c r="F31" s="14">
        <f>ROUND( 73.8609335298759,0)</f>
        <v>74</v>
      </c>
      <c r="G31" s="14">
        <f>ROUND( 135.13796717693,0)</f>
        <v>135</v>
      </c>
      <c r="H31" s="14">
        <f>ROUND( 71.8880623585751,0)</f>
        <v>72</v>
      </c>
      <c r="I31" s="14">
        <f>ROUND( 207.026029535505,0)</f>
        <v>207</v>
      </c>
      <c r="J31" s="14">
        <f>ROUND( 205.171527459406,0)</f>
        <v>205</v>
      </c>
      <c r="K31" s="14">
        <f>ROUND( 204.541808184772,0)</f>
        <v>205</v>
      </c>
      <c r="L31" s="14">
        <f>ROUND( 204.541808184772,0)</f>
        <v>205</v>
      </c>
      <c r="M31" s="14">
        <f>ROUND( 204.541808184772,0)</f>
        <v>205</v>
      </c>
      <c r="N31" s="14">
        <f>ROUND( 204.549927478348,0)</f>
        <v>205</v>
      </c>
      <c r="O31" s="14">
        <f>ROUND( 40.9099854956696,0)</f>
        <v>41</v>
      </c>
      <c r="P31" s="14">
        <f>ROUND( 163.639941982679,0)</f>
        <v>164</v>
      </c>
      <c r="Q31" s="14">
        <f>ROUND( 160.658451411216,0)</f>
        <v>161</v>
      </c>
      <c r="R31" s="14">
        <f t="shared" ref="R31:X31" si="19">ROUND( 198.752906652999,0)</f>
        <v>199</v>
      </c>
      <c r="S31" s="14">
        <f t="shared" si="19"/>
        <v>199</v>
      </c>
      <c r="T31" s="14">
        <f t="shared" si="19"/>
        <v>199</v>
      </c>
      <c r="U31" s="14">
        <f t="shared" si="19"/>
        <v>199</v>
      </c>
      <c r="V31" s="14">
        <f t="shared" si="19"/>
        <v>199</v>
      </c>
      <c r="W31" s="14">
        <f t="shared" si="19"/>
        <v>199</v>
      </c>
      <c r="X31" s="15">
        <f t="shared" si="19"/>
        <v>199</v>
      </c>
    </row>
    <row r="32" spans="1:24" s="3" customFormat="1" ht="15">
      <c r="A32" s="22" t="s">
        <v>33</v>
      </c>
      <c r="B32" s="5" t="s">
        <v>56</v>
      </c>
      <c r="C32" s="12">
        <v>141.67657961352106</v>
      </c>
      <c r="D32" s="12">
        <v>75.366345985298892</v>
      </c>
      <c r="E32" s="12">
        <v>141.56919069015618</v>
      </c>
      <c r="F32" s="12">
        <v>75.309219318524569</v>
      </c>
      <c r="G32" s="12">
        <v>138.28874351479291</v>
      </c>
      <c r="H32" s="12">
        <v>73.56415095592466</v>
      </c>
      <c r="I32" s="12">
        <v>211.85289447071773</v>
      </c>
      <c r="J32" s="12">
        <v>212.61073756095917</v>
      </c>
      <c r="K32" s="12">
        <v>211.96349804311666</v>
      </c>
      <c r="L32" s="12">
        <v>211.92518160916796</v>
      </c>
      <c r="M32" s="12">
        <v>211.93958345936139</v>
      </c>
      <c r="N32" s="12">
        <v>211.69510871689135</v>
      </c>
      <c r="O32" s="12">
        <v>42.339021743378268</v>
      </c>
      <c r="P32" s="12">
        <v>169.3560869735131</v>
      </c>
      <c r="Q32" s="12">
        <v>177.40923867629473</v>
      </c>
      <c r="R32" s="12">
        <v>232.66053912148831</v>
      </c>
      <c r="S32" s="12">
        <v>220.84208000178398</v>
      </c>
      <c r="T32" s="12">
        <v>218.14701699323376</v>
      </c>
      <c r="U32" s="12">
        <v>206.49924338463515</v>
      </c>
      <c r="V32" s="12">
        <v>206.57759796979349</v>
      </c>
      <c r="W32" s="12">
        <v>206.08612783929362</v>
      </c>
      <c r="X32" s="13">
        <v>206.11117829753346</v>
      </c>
    </row>
    <row r="33" spans="1:24" s="3" customFormat="1" ht="15">
      <c r="A33" s="22" t="s">
        <v>22</v>
      </c>
      <c r="B33" s="5"/>
      <c r="C33" s="12">
        <v>223.69682838783041</v>
      </c>
      <c r="D33" s="12">
        <v>223.69682838783041</v>
      </c>
      <c r="E33" s="12">
        <v>224.30953558092807</v>
      </c>
      <c r="F33" s="12">
        <v>224.30953558092807</v>
      </c>
      <c r="G33" s="12">
        <v>244.0511039687693</v>
      </c>
      <c r="H33" s="12">
        <v>244.0511039687693</v>
      </c>
      <c r="I33" s="12">
        <v>244.05110396876907</v>
      </c>
      <c r="J33" s="12">
        <v>249.90862173149014</v>
      </c>
      <c r="K33" s="12">
        <v>251.96662655203377</v>
      </c>
      <c r="L33" s="12">
        <v>251.96662655203377</v>
      </c>
      <c r="M33" s="12">
        <v>251.96662655203377</v>
      </c>
      <c r="N33" s="12">
        <v>251.74225481348154</v>
      </c>
      <c r="O33" s="12">
        <v>251.74225481348154</v>
      </c>
      <c r="P33" s="12">
        <v>251.74225481348154</v>
      </c>
      <c r="Q33" s="12">
        <v>258.71035379953491</v>
      </c>
      <c r="R33" s="12">
        <v>268.65260798696914</v>
      </c>
      <c r="S33" s="12">
        <v>268.65260798696914</v>
      </c>
      <c r="T33" s="12">
        <v>268.65260798696914</v>
      </c>
      <c r="U33" s="12">
        <v>268.65260798696914</v>
      </c>
      <c r="V33" s="12">
        <v>268.65260798696914</v>
      </c>
      <c r="W33" s="12">
        <v>268.65260798696914</v>
      </c>
      <c r="X33" s="13">
        <v>268.65260798696914</v>
      </c>
    </row>
    <row r="34" spans="1:24" s="3" customFormat="1" ht="15">
      <c r="A34" s="22" t="s">
        <v>23</v>
      </c>
      <c r="B34" s="5" t="s">
        <v>54</v>
      </c>
      <c r="C34" s="12">
        <v>1.9425877431549128</v>
      </c>
      <c r="D34" s="12">
        <v>1.9425877431549128</v>
      </c>
      <c r="E34" s="12">
        <v>1.9421662444715431</v>
      </c>
      <c r="F34" s="12">
        <v>1.9421662444715431</v>
      </c>
      <c r="G34" s="12">
        <v>1.926159245816361</v>
      </c>
      <c r="H34" s="12">
        <v>1.926159245816361</v>
      </c>
      <c r="I34" s="12">
        <v>1.9261592458163637</v>
      </c>
      <c r="J34" s="12">
        <v>1.9716972891450564</v>
      </c>
      <c r="K34" s="12">
        <v>1.9696097501295136</v>
      </c>
      <c r="L34" s="12">
        <v>1.9706197656694111</v>
      </c>
      <c r="M34" s="12">
        <v>1.9707253648237866</v>
      </c>
      <c r="N34" s="12">
        <v>1.9649270735552762</v>
      </c>
      <c r="O34" s="12">
        <v>1.9649270735552762</v>
      </c>
      <c r="P34" s="12">
        <v>1.9649270735552762</v>
      </c>
      <c r="Q34" s="12">
        <v>2.2126258978545708</v>
      </c>
      <c r="R34" s="12">
        <v>2.4126235626496366</v>
      </c>
      <c r="S34" s="12">
        <v>2.230577648958366</v>
      </c>
      <c r="T34" s="12">
        <v>2.1845027482174015</v>
      </c>
      <c r="U34" s="12">
        <v>1.9641534779479544</v>
      </c>
      <c r="V34" s="12">
        <v>1.9647688450296625</v>
      </c>
      <c r="W34" s="12">
        <v>1.9817553803388854</v>
      </c>
      <c r="X34" s="13">
        <v>1.9819506118099441</v>
      </c>
    </row>
    <row r="35" spans="1:24" s="3" customFormat="1" ht="15">
      <c r="A35" s="22" t="s">
        <v>25</v>
      </c>
      <c r="B35" s="5" t="s">
        <v>57</v>
      </c>
      <c r="C35" s="12">
        <v>0.13072545671879143</v>
      </c>
      <c r="D35" s="12">
        <v>0.13072545671879143</v>
      </c>
      <c r="E35" s="12">
        <v>0.13095493256532234</v>
      </c>
      <c r="F35" s="12">
        <v>0.13095493256532234</v>
      </c>
      <c r="G35" s="12">
        <v>0.13846024754796837</v>
      </c>
      <c r="H35" s="12">
        <v>0.13846024754796837</v>
      </c>
      <c r="I35" s="12">
        <v>0.13846024754796837</v>
      </c>
      <c r="J35" s="12">
        <v>0.13747520988074116</v>
      </c>
      <c r="K35" s="12">
        <v>0.13826886223320847</v>
      </c>
      <c r="L35" s="12">
        <v>0.13818518377181169</v>
      </c>
      <c r="M35" s="12">
        <v>0.13818063300773412</v>
      </c>
      <c r="N35" s="12">
        <v>0.13889147722092726</v>
      </c>
      <c r="O35" s="12">
        <v>0.13889147722092726</v>
      </c>
      <c r="P35" s="12">
        <v>0.13889147722092726</v>
      </c>
      <c r="Q35" s="12">
        <v>0.12483266914852209</v>
      </c>
      <c r="R35" s="12">
        <v>0.1075357055144647</v>
      </c>
      <c r="S35" s="12">
        <v>0.12721943697733745</v>
      </c>
      <c r="T35" s="12">
        <v>0.13042928609883592</v>
      </c>
      <c r="U35" s="12">
        <v>0.14416547582226802</v>
      </c>
      <c r="V35" s="12">
        <v>0.14414004548995862</v>
      </c>
      <c r="W35" s="12">
        <v>0.14286768990812249</v>
      </c>
      <c r="X35" s="13">
        <v>0.14285915021399856</v>
      </c>
    </row>
    <row r="36" spans="1:24" s="3" customFormat="1" ht="15">
      <c r="A36" s="22" t="s">
        <v>26</v>
      </c>
      <c r="B36" s="5" t="s">
        <v>27</v>
      </c>
      <c r="C36" s="12">
        <v>12.800524660788509</v>
      </c>
      <c r="D36" s="12">
        <v>12.800524660788509</v>
      </c>
      <c r="E36" s="12">
        <v>12.890892013285434</v>
      </c>
      <c r="F36" s="12">
        <v>12.890892013285434</v>
      </c>
      <c r="G36" s="12">
        <v>16.553095550192989</v>
      </c>
      <c r="H36" s="12">
        <v>16.553095550192989</v>
      </c>
      <c r="I36" s="12">
        <v>16.553095550193333</v>
      </c>
      <c r="J36" s="12">
        <v>12.59988796508379</v>
      </c>
      <c r="K36" s="12">
        <v>12.942244088617155</v>
      </c>
      <c r="L36" s="12">
        <v>12.837638826555205</v>
      </c>
      <c r="M36" s="12">
        <v>12.830806778812832</v>
      </c>
      <c r="N36" s="12">
        <v>13.343330867863642</v>
      </c>
      <c r="O36" s="12">
        <v>13.343330867863642</v>
      </c>
      <c r="P36" s="12">
        <v>13.343330867863642</v>
      </c>
      <c r="Q36" s="12">
        <v>2.9728462465196612</v>
      </c>
      <c r="R36" s="12">
        <v>1.1073521970817795</v>
      </c>
      <c r="S36" s="12">
        <v>2.8154808321058913</v>
      </c>
      <c r="T36" s="12">
        <v>3.7476465813795734</v>
      </c>
      <c r="U36" s="12">
        <v>14.891630403367374</v>
      </c>
      <c r="V36" s="12">
        <v>14.84144050685042</v>
      </c>
      <c r="W36" s="12">
        <v>12.90308570809783</v>
      </c>
      <c r="X36" s="13">
        <v>12.889048756166147</v>
      </c>
    </row>
    <row r="37" spans="1:24" s="3" customFormat="1" ht="15">
      <c r="A37" s="22" t="s">
        <v>28</v>
      </c>
      <c r="B37" s="5" t="s">
        <v>55</v>
      </c>
      <c r="C37" s="12">
        <v>844.67417237154166</v>
      </c>
      <c r="D37" s="12">
        <v>844.67417237154166</v>
      </c>
      <c r="E37" s="12">
        <v>844.93323491836964</v>
      </c>
      <c r="F37" s="12">
        <v>844.93323491836964</v>
      </c>
      <c r="G37" s="12">
        <v>853.25758037744049</v>
      </c>
      <c r="H37" s="12">
        <v>853.25758037744049</v>
      </c>
      <c r="I37" s="12">
        <v>853.25758037744004</v>
      </c>
      <c r="J37" s="12">
        <v>845.75424124714641</v>
      </c>
      <c r="K37" s="12">
        <v>846.81012839963591</v>
      </c>
      <c r="L37" s="12">
        <v>846.96323311378808</v>
      </c>
      <c r="M37" s="12">
        <v>846.90567974219255</v>
      </c>
      <c r="N37" s="12">
        <v>847.92856389320082</v>
      </c>
      <c r="O37" s="12">
        <v>847.92856389320082</v>
      </c>
      <c r="P37" s="12">
        <v>847.92856389320082</v>
      </c>
      <c r="Q37" s="12">
        <v>798.00144569796896</v>
      </c>
      <c r="R37" s="12">
        <v>756.83850826372475</v>
      </c>
      <c r="S37" s="12">
        <v>797.34104731815034</v>
      </c>
      <c r="T37" s="12">
        <v>807.19167187146479</v>
      </c>
      <c r="U37" s="12">
        <v>852.72203652850362</v>
      </c>
      <c r="V37" s="12">
        <v>852.39860028912335</v>
      </c>
      <c r="W37" s="12">
        <v>854.43138364875176</v>
      </c>
      <c r="X37" s="13">
        <v>854.32753727869238</v>
      </c>
    </row>
    <row r="38" spans="1:24" s="3" customFormat="1" ht="15">
      <c r="A38" s="22" t="s">
        <v>34</v>
      </c>
      <c r="B38" s="8" t="s">
        <v>35</v>
      </c>
      <c r="C38" s="12">
        <v>48.922474375059316</v>
      </c>
      <c r="D38" s="12">
        <v>48.922474375059316</v>
      </c>
      <c r="E38" s="12">
        <v>49.075492593515051</v>
      </c>
      <c r="F38" s="12">
        <v>49.075492593515051</v>
      </c>
      <c r="G38" s="12">
        <v>54.115091138029676</v>
      </c>
      <c r="H38" s="12">
        <v>54.115091138029676</v>
      </c>
      <c r="I38" s="12">
        <v>54.115091138029669</v>
      </c>
      <c r="J38" s="12">
        <v>53.543111768170533</v>
      </c>
      <c r="K38" s="12">
        <v>54.081387619438743</v>
      </c>
      <c r="L38" s="12">
        <v>54.025680416904144</v>
      </c>
      <c r="M38" s="12">
        <v>54.022652451665365</v>
      </c>
      <c r="N38" s="12">
        <v>54.299037570454267</v>
      </c>
      <c r="O38" s="12">
        <v>54.299037570454267</v>
      </c>
      <c r="P38" s="12">
        <v>54.299037570454267</v>
      </c>
      <c r="Q38" s="12">
        <v>45.503711373538991</v>
      </c>
      <c r="R38" s="12">
        <v>39.078624232957921</v>
      </c>
      <c r="S38" s="12">
        <v>46.577241862049227</v>
      </c>
      <c r="T38" s="12">
        <v>48.525785984848774</v>
      </c>
      <c r="U38" s="12">
        <v>58.00411262281564</v>
      </c>
      <c r="V38" s="12">
        <v>57.985132918539612</v>
      </c>
      <c r="W38" s="12">
        <v>57.042019338811095</v>
      </c>
      <c r="X38" s="13">
        <v>57.035733070117907</v>
      </c>
    </row>
    <row r="39" spans="1:24" s="3" customFormat="1" ht="15">
      <c r="A39" s="22"/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3"/>
    </row>
    <row r="40" spans="1:24" s="3" customFormat="1" ht="15.75" thickBot="1">
      <c r="A40" s="33"/>
      <c r="B40" s="3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36"/>
    </row>
    <row r="41" spans="1:24" s="3" customFormat="1" ht="16.5" thickBot="1">
      <c r="A41" s="113" t="s">
        <v>36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5"/>
    </row>
    <row r="42" spans="1:24" s="3" customFormat="1" ht="15">
      <c r="A42" s="29" t="s">
        <v>21</v>
      </c>
      <c r="B42" s="30" t="s">
        <v>7</v>
      </c>
      <c r="C42" s="46">
        <f>ROUND( 48834.3816843678,0)</f>
        <v>48834</v>
      </c>
      <c r="D42" s="46">
        <f>ROUND( 25977.9627376814,0)</f>
        <v>25978</v>
      </c>
      <c r="E42" s="31" t="s">
        <v>19</v>
      </c>
      <c r="F42" s="31" t="s">
        <v>19</v>
      </c>
      <c r="G42" s="31" t="s">
        <v>19</v>
      </c>
      <c r="H42" s="31" t="s">
        <v>19</v>
      </c>
      <c r="I42" s="31" t="s">
        <v>19</v>
      </c>
      <c r="J42" s="31" t="s">
        <v>19</v>
      </c>
      <c r="K42" s="31" t="s">
        <v>19</v>
      </c>
      <c r="L42" s="31" t="s">
        <v>19</v>
      </c>
      <c r="M42" s="31" t="s">
        <v>19</v>
      </c>
      <c r="N42" s="31" t="s">
        <v>19</v>
      </c>
      <c r="O42" s="31" t="s">
        <v>19</v>
      </c>
      <c r="P42" s="31" t="s">
        <v>19</v>
      </c>
      <c r="Q42" s="31" t="s">
        <v>19</v>
      </c>
      <c r="R42" s="31" t="s">
        <v>19</v>
      </c>
      <c r="S42" s="31" t="s">
        <v>19</v>
      </c>
      <c r="T42" s="31" t="s">
        <v>19</v>
      </c>
      <c r="U42" s="31" t="s">
        <v>19</v>
      </c>
      <c r="V42" s="31" t="s">
        <v>19</v>
      </c>
      <c r="W42" s="31" t="s">
        <v>19</v>
      </c>
      <c r="X42" s="32" t="s">
        <v>19</v>
      </c>
    </row>
    <row r="43" spans="1:24" s="3" customFormat="1" ht="15">
      <c r="A43" s="22" t="s">
        <v>31</v>
      </c>
      <c r="B43" s="7" t="s">
        <v>32</v>
      </c>
      <c r="C43" s="41">
        <v>48.946045735200606</v>
      </c>
      <c r="D43" s="41">
        <v>26.037363603457148</v>
      </c>
      <c r="E43" s="12" t="s">
        <v>19</v>
      </c>
      <c r="F43" s="12" t="s">
        <v>19</v>
      </c>
      <c r="G43" s="12" t="s">
        <v>19</v>
      </c>
      <c r="H43" s="12" t="s">
        <v>19</v>
      </c>
      <c r="I43" s="12" t="s">
        <v>19</v>
      </c>
      <c r="J43" s="12" t="s">
        <v>19</v>
      </c>
      <c r="K43" s="12" t="s">
        <v>19</v>
      </c>
      <c r="L43" s="12" t="s">
        <v>19</v>
      </c>
      <c r="M43" s="12" t="s">
        <v>19</v>
      </c>
      <c r="N43" s="12" t="s">
        <v>19</v>
      </c>
      <c r="O43" s="12" t="s">
        <v>19</v>
      </c>
      <c r="P43" s="12" t="s">
        <v>19</v>
      </c>
      <c r="Q43" s="12" t="s">
        <v>19</v>
      </c>
      <c r="R43" s="12" t="s">
        <v>19</v>
      </c>
      <c r="S43" s="12" t="s">
        <v>19</v>
      </c>
      <c r="T43" s="12" t="s">
        <v>19</v>
      </c>
      <c r="U43" s="12" t="s">
        <v>19</v>
      </c>
      <c r="V43" s="12" t="s">
        <v>19</v>
      </c>
      <c r="W43" s="12" t="s">
        <v>19</v>
      </c>
      <c r="X43" s="13" t="s">
        <v>19</v>
      </c>
    </row>
    <row r="44" spans="1:24" s="3" customFormat="1" ht="15">
      <c r="A44" s="22" t="s">
        <v>33</v>
      </c>
      <c r="B44" s="5" t="s">
        <v>56</v>
      </c>
      <c r="C44" s="41">
        <v>49.199290931031172</v>
      </c>
      <c r="D44" s="41">
        <v>26.172080047770997</v>
      </c>
      <c r="E44" s="12" t="s">
        <v>19</v>
      </c>
      <c r="F44" s="12" t="s">
        <v>19</v>
      </c>
      <c r="G44" s="12" t="s">
        <v>19</v>
      </c>
      <c r="H44" s="12" t="s">
        <v>19</v>
      </c>
      <c r="I44" s="12" t="s">
        <v>19</v>
      </c>
      <c r="J44" s="12" t="s">
        <v>19</v>
      </c>
      <c r="K44" s="12" t="s">
        <v>19</v>
      </c>
      <c r="L44" s="12" t="s">
        <v>19</v>
      </c>
      <c r="M44" s="12" t="s">
        <v>19</v>
      </c>
      <c r="N44" s="12" t="s">
        <v>19</v>
      </c>
      <c r="O44" s="12" t="s">
        <v>19</v>
      </c>
      <c r="P44" s="12" t="s">
        <v>19</v>
      </c>
      <c r="Q44" s="12" t="s">
        <v>19</v>
      </c>
      <c r="R44" s="12" t="s">
        <v>19</v>
      </c>
      <c r="S44" s="12" t="s">
        <v>19</v>
      </c>
      <c r="T44" s="12" t="s">
        <v>19</v>
      </c>
      <c r="U44" s="12" t="s">
        <v>19</v>
      </c>
      <c r="V44" s="12" t="s">
        <v>19</v>
      </c>
      <c r="W44" s="12" t="s">
        <v>19</v>
      </c>
      <c r="X44" s="13" t="s">
        <v>19</v>
      </c>
    </row>
    <row r="45" spans="1:24" s="3" customFormat="1" ht="15">
      <c r="A45" s="22" t="s">
        <v>22</v>
      </c>
      <c r="B45" s="5"/>
      <c r="C45" s="41">
        <v>18.024786483781224</v>
      </c>
      <c r="D45" s="41">
        <v>18.024786483781224</v>
      </c>
      <c r="E45" s="12" t="s">
        <v>19</v>
      </c>
      <c r="F45" s="12" t="s">
        <v>19</v>
      </c>
      <c r="G45" s="12" t="s">
        <v>19</v>
      </c>
      <c r="H45" s="12" t="s">
        <v>19</v>
      </c>
      <c r="I45" s="12" t="s">
        <v>19</v>
      </c>
      <c r="J45" s="12" t="s">
        <v>19</v>
      </c>
      <c r="K45" s="12" t="s">
        <v>19</v>
      </c>
      <c r="L45" s="12" t="s">
        <v>19</v>
      </c>
      <c r="M45" s="12" t="s">
        <v>19</v>
      </c>
      <c r="N45" s="12" t="s">
        <v>19</v>
      </c>
      <c r="O45" s="12" t="s">
        <v>19</v>
      </c>
      <c r="P45" s="12" t="s">
        <v>19</v>
      </c>
      <c r="Q45" s="12" t="s">
        <v>19</v>
      </c>
      <c r="R45" s="12" t="s">
        <v>19</v>
      </c>
      <c r="S45" s="12" t="s">
        <v>19</v>
      </c>
      <c r="T45" s="12" t="s">
        <v>19</v>
      </c>
      <c r="U45" s="12" t="s">
        <v>19</v>
      </c>
      <c r="V45" s="12" t="s">
        <v>19</v>
      </c>
      <c r="W45" s="12" t="s">
        <v>19</v>
      </c>
      <c r="X45" s="13" t="s">
        <v>19</v>
      </c>
    </row>
    <row r="46" spans="1:24" s="3" customFormat="1" ht="15">
      <c r="A46" s="22" t="s">
        <v>23</v>
      </c>
      <c r="B46" s="5" t="s">
        <v>54</v>
      </c>
      <c r="C46" s="41">
        <v>4.3127422916287133</v>
      </c>
      <c r="D46" s="41">
        <v>4.3127422916287133</v>
      </c>
      <c r="E46" s="12" t="s">
        <v>19</v>
      </c>
      <c r="F46" s="12" t="s">
        <v>19</v>
      </c>
      <c r="G46" s="12" t="s">
        <v>19</v>
      </c>
      <c r="H46" s="12" t="s">
        <v>19</v>
      </c>
      <c r="I46" s="12" t="s">
        <v>19</v>
      </c>
      <c r="J46" s="12" t="s">
        <v>19</v>
      </c>
      <c r="K46" s="12" t="s">
        <v>19</v>
      </c>
      <c r="L46" s="12" t="s">
        <v>19</v>
      </c>
      <c r="M46" s="12" t="s">
        <v>19</v>
      </c>
      <c r="N46" s="12" t="s">
        <v>19</v>
      </c>
      <c r="O46" s="12" t="s">
        <v>19</v>
      </c>
      <c r="P46" s="12" t="s">
        <v>19</v>
      </c>
      <c r="Q46" s="12" t="s">
        <v>19</v>
      </c>
      <c r="R46" s="12" t="s">
        <v>19</v>
      </c>
      <c r="S46" s="12" t="s">
        <v>19</v>
      </c>
      <c r="T46" s="12" t="s">
        <v>19</v>
      </c>
      <c r="U46" s="12" t="s">
        <v>19</v>
      </c>
      <c r="V46" s="12" t="s">
        <v>19</v>
      </c>
      <c r="W46" s="12" t="s">
        <v>19</v>
      </c>
      <c r="X46" s="13" t="s">
        <v>19</v>
      </c>
    </row>
    <row r="47" spans="1:24" s="3" customFormat="1" ht="15">
      <c r="A47" s="22" t="s">
        <v>25</v>
      </c>
      <c r="B47" s="5" t="s">
        <v>57</v>
      </c>
      <c r="C47" s="41">
        <v>0.6377206062260804</v>
      </c>
      <c r="D47" s="41">
        <v>0.6377206062260804</v>
      </c>
      <c r="E47" s="12" t="s">
        <v>19</v>
      </c>
      <c r="F47" s="12" t="s">
        <v>19</v>
      </c>
      <c r="G47" s="12" t="s">
        <v>19</v>
      </c>
      <c r="H47" s="12" t="s">
        <v>19</v>
      </c>
      <c r="I47" s="12" t="s">
        <v>19</v>
      </c>
      <c r="J47" s="12" t="s">
        <v>19</v>
      </c>
      <c r="K47" s="12" t="s">
        <v>19</v>
      </c>
      <c r="L47" s="12" t="s">
        <v>19</v>
      </c>
      <c r="M47" s="12" t="s">
        <v>19</v>
      </c>
      <c r="N47" s="12" t="s">
        <v>19</v>
      </c>
      <c r="O47" s="12" t="s">
        <v>19</v>
      </c>
      <c r="P47" s="12" t="s">
        <v>19</v>
      </c>
      <c r="Q47" s="12" t="s">
        <v>19</v>
      </c>
      <c r="R47" s="12" t="s">
        <v>19</v>
      </c>
      <c r="S47" s="12" t="s">
        <v>19</v>
      </c>
      <c r="T47" s="12" t="s">
        <v>19</v>
      </c>
      <c r="U47" s="12" t="s">
        <v>19</v>
      </c>
      <c r="V47" s="12" t="s">
        <v>19</v>
      </c>
      <c r="W47" s="12" t="s">
        <v>19</v>
      </c>
      <c r="X47" s="13" t="s">
        <v>19</v>
      </c>
    </row>
    <row r="48" spans="1:24" s="3" customFormat="1" ht="15">
      <c r="A48" s="22" t="s">
        <v>26</v>
      </c>
      <c r="B48" s="5" t="s">
        <v>27</v>
      </c>
      <c r="C48" s="41">
        <v>0.59243776137546156</v>
      </c>
      <c r="D48" s="41">
        <v>0.59243776137546156</v>
      </c>
      <c r="E48" s="12" t="s">
        <v>19</v>
      </c>
      <c r="F48" s="12" t="s">
        <v>19</v>
      </c>
      <c r="G48" s="12" t="s">
        <v>19</v>
      </c>
      <c r="H48" s="12" t="s">
        <v>19</v>
      </c>
      <c r="I48" s="12" t="s">
        <v>19</v>
      </c>
      <c r="J48" s="12" t="s">
        <v>19</v>
      </c>
      <c r="K48" s="12" t="s">
        <v>19</v>
      </c>
      <c r="L48" s="12" t="s">
        <v>19</v>
      </c>
      <c r="M48" s="12" t="s">
        <v>19</v>
      </c>
      <c r="N48" s="12" t="s">
        <v>19</v>
      </c>
      <c r="O48" s="12" t="s">
        <v>19</v>
      </c>
      <c r="P48" s="12" t="s">
        <v>19</v>
      </c>
      <c r="Q48" s="12" t="s">
        <v>19</v>
      </c>
      <c r="R48" s="12" t="s">
        <v>19</v>
      </c>
      <c r="S48" s="12" t="s">
        <v>19</v>
      </c>
      <c r="T48" s="12" t="s">
        <v>19</v>
      </c>
      <c r="U48" s="12" t="s">
        <v>19</v>
      </c>
      <c r="V48" s="12" t="s">
        <v>19</v>
      </c>
      <c r="W48" s="12" t="s">
        <v>19</v>
      </c>
      <c r="X48" s="13" t="s">
        <v>19</v>
      </c>
    </row>
    <row r="49" spans="1:24" s="3" customFormat="1" ht="15">
      <c r="A49" s="22" t="s">
        <v>28</v>
      </c>
      <c r="B49" s="5" t="s">
        <v>55</v>
      </c>
      <c r="C49" s="41">
        <v>992.58303849998686</v>
      </c>
      <c r="D49" s="41">
        <v>992.58303849998686</v>
      </c>
      <c r="E49" s="12" t="s">
        <v>19</v>
      </c>
      <c r="F49" s="12" t="s">
        <v>19</v>
      </c>
      <c r="G49" s="12" t="s">
        <v>19</v>
      </c>
      <c r="H49" s="12" t="s">
        <v>19</v>
      </c>
      <c r="I49" s="12" t="s">
        <v>19</v>
      </c>
      <c r="J49" s="12" t="s">
        <v>19</v>
      </c>
      <c r="K49" s="12" t="s">
        <v>19</v>
      </c>
      <c r="L49" s="12" t="s">
        <v>19</v>
      </c>
      <c r="M49" s="12" t="s">
        <v>19</v>
      </c>
      <c r="N49" s="12" t="s">
        <v>19</v>
      </c>
      <c r="O49" s="12" t="s">
        <v>19</v>
      </c>
      <c r="P49" s="12" t="s">
        <v>19</v>
      </c>
      <c r="Q49" s="12" t="s">
        <v>19</v>
      </c>
      <c r="R49" s="12" t="s">
        <v>19</v>
      </c>
      <c r="S49" s="12" t="s">
        <v>19</v>
      </c>
      <c r="T49" s="12" t="s">
        <v>19</v>
      </c>
      <c r="U49" s="12" t="s">
        <v>19</v>
      </c>
      <c r="V49" s="12" t="s">
        <v>19</v>
      </c>
      <c r="W49" s="12" t="s">
        <v>19</v>
      </c>
      <c r="X49" s="13" t="s">
        <v>19</v>
      </c>
    </row>
    <row r="50" spans="1:24" s="3" customFormat="1" ht="15">
      <c r="A50" s="22"/>
      <c r="B50" s="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9"/>
    </row>
    <row r="51" spans="1:24" s="3" customFormat="1" ht="15">
      <c r="A51" s="2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9"/>
    </row>
    <row r="52" spans="1:24" s="3" customFormat="1" ht="15.75" thickBot="1">
      <c r="A52" s="33"/>
      <c r="B52" s="3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8"/>
    </row>
    <row r="53" spans="1:24" s="3" customFormat="1" ht="16.5" thickBot="1">
      <c r="A53" s="113" t="s">
        <v>37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/>
    </row>
    <row r="54" spans="1:24" s="3" customFormat="1" ht="15">
      <c r="A54" s="29" t="s">
        <v>38</v>
      </c>
      <c r="B54" s="39"/>
      <c r="C54" s="42">
        <v>79.589816609162384</v>
      </c>
      <c r="D54" s="42">
        <v>79.589816609162384</v>
      </c>
      <c r="E54" s="42">
        <v>0.1032566905530585</v>
      </c>
      <c r="F54" s="42">
        <v>0.1032566905530585</v>
      </c>
      <c r="G54" s="42">
        <v>0.1032566905530585</v>
      </c>
      <c r="H54" s="42">
        <v>0.1032566905530585</v>
      </c>
      <c r="I54" s="42">
        <v>0.1032566905530585</v>
      </c>
      <c r="J54" s="42">
        <v>0.1032566905530585</v>
      </c>
      <c r="K54" s="42">
        <v>2.680244653762549E-2</v>
      </c>
      <c r="L54" s="42">
        <v>2.680244653762549E-2</v>
      </c>
      <c r="M54" s="42">
        <v>2.680244653762549E-2</v>
      </c>
      <c r="N54" s="42">
        <v>0.14257711856992081</v>
      </c>
      <c r="O54" s="42">
        <v>0.14257711856992081</v>
      </c>
      <c r="P54" s="42">
        <v>0.14257711856992081</v>
      </c>
      <c r="Q54" s="42">
        <v>0.15114420818101659</v>
      </c>
      <c r="R54" s="42">
        <v>1.1665739358802798E-6</v>
      </c>
      <c r="S54" s="42">
        <v>1.1665739358802798E-6</v>
      </c>
      <c r="T54" s="42">
        <v>1.1665739358802798E-6</v>
      </c>
      <c r="U54" s="42">
        <v>1.1665739358802798E-6</v>
      </c>
      <c r="V54" s="42">
        <v>1.1665739358802798E-6</v>
      </c>
      <c r="W54" s="42">
        <v>1.1665739358802798E-6</v>
      </c>
      <c r="X54" s="43">
        <v>1.1665739358802798E-6</v>
      </c>
    </row>
    <row r="55" spans="1:24" s="3" customFormat="1" ht="15">
      <c r="A55" s="22" t="s">
        <v>39</v>
      </c>
      <c r="B55" s="8"/>
      <c r="C55" s="44">
        <v>0.3113714817456863</v>
      </c>
      <c r="D55" s="44">
        <v>0.3113714817456863</v>
      </c>
      <c r="E55" s="44">
        <v>1.1123361855741241</v>
      </c>
      <c r="F55" s="44">
        <v>1.1123361855741241</v>
      </c>
      <c r="G55" s="44">
        <v>1.1123361855741241</v>
      </c>
      <c r="H55" s="44">
        <v>1.1123361855741241</v>
      </c>
      <c r="I55" s="44">
        <v>1.1123361855741241</v>
      </c>
      <c r="J55" s="44">
        <v>1.1123361855741241</v>
      </c>
      <c r="K55" s="44">
        <v>0.54621870898623959</v>
      </c>
      <c r="L55" s="44">
        <v>0.54621870898623959</v>
      </c>
      <c r="M55" s="44">
        <v>0.54621870898623959</v>
      </c>
      <c r="N55" s="44">
        <v>0.52660513100328854</v>
      </c>
      <c r="O55" s="44">
        <v>0.52660513100328854</v>
      </c>
      <c r="P55" s="44">
        <v>0.52660513100328854</v>
      </c>
      <c r="Q55" s="44">
        <v>0.5733592618730351</v>
      </c>
      <c r="R55" s="44">
        <v>1.5765406030049806E-2</v>
      </c>
      <c r="S55" s="44">
        <v>1.5765406030049806E-2</v>
      </c>
      <c r="T55" s="44">
        <v>1.5765406030049806E-2</v>
      </c>
      <c r="U55" s="44">
        <v>1.5765406030049806E-2</v>
      </c>
      <c r="V55" s="44">
        <v>1.5765406030049806E-2</v>
      </c>
      <c r="W55" s="44">
        <v>1.5765406030049806E-2</v>
      </c>
      <c r="X55" s="45">
        <v>1.5765406030049806E-2</v>
      </c>
    </row>
    <row r="56" spans="1:24" s="3" customFormat="1" ht="15">
      <c r="A56" s="22" t="s">
        <v>40</v>
      </c>
      <c r="B56" s="8"/>
      <c r="C56" s="44">
        <v>8.4389687202974406E-2</v>
      </c>
      <c r="D56" s="44">
        <v>8.4389687202974406E-2</v>
      </c>
      <c r="E56" s="44">
        <v>2.8642358580397733E-2</v>
      </c>
      <c r="F56" s="44">
        <v>2.8642358580397733E-2</v>
      </c>
      <c r="G56" s="44">
        <v>2.8642358580397733E-2</v>
      </c>
      <c r="H56" s="44">
        <v>2.8642358580397733E-2</v>
      </c>
      <c r="I56" s="44">
        <v>2.8642358580397733E-2</v>
      </c>
      <c r="J56" s="44">
        <v>2.8642358580397733E-2</v>
      </c>
      <c r="K56" s="44">
        <v>8.28146702226707E-4</v>
      </c>
      <c r="L56" s="44">
        <v>8.28146702226707E-4</v>
      </c>
      <c r="M56" s="44">
        <v>8.28146702226707E-4</v>
      </c>
      <c r="N56" s="44">
        <v>8.1881480752073123E-4</v>
      </c>
      <c r="O56" s="44">
        <v>8.1881480752073123E-4</v>
      </c>
      <c r="P56" s="44">
        <v>8.1881480752073123E-4</v>
      </c>
      <c r="Q56" s="44">
        <v>8.1811206565849401E-4</v>
      </c>
      <c r="R56" s="44">
        <v>1.0323514814579617E-18</v>
      </c>
      <c r="S56" s="44">
        <v>1.0323514814579617E-18</v>
      </c>
      <c r="T56" s="44">
        <v>1.0323514814579617E-18</v>
      </c>
      <c r="U56" s="44">
        <v>1.0323514814579617E-18</v>
      </c>
      <c r="V56" s="44">
        <v>1.0323514814579617E-18</v>
      </c>
      <c r="W56" s="44">
        <v>1.0323514814579617E-18</v>
      </c>
      <c r="X56" s="45">
        <v>1.0323514814579617E-18</v>
      </c>
    </row>
    <row r="57" spans="1:24" s="3" customFormat="1" ht="15">
      <c r="A57" s="22" t="s">
        <v>41</v>
      </c>
      <c r="B57" s="8"/>
      <c r="C57" s="44">
        <v>0.15471442653878645</v>
      </c>
      <c r="D57" s="44">
        <v>0.15471442653878645</v>
      </c>
      <c r="E57" s="44">
        <v>0.32431611035401853</v>
      </c>
      <c r="F57" s="44">
        <v>0.32431611035401853</v>
      </c>
      <c r="G57" s="44">
        <v>0.32431611035401853</v>
      </c>
      <c r="H57" s="44">
        <v>0.32431611035401853</v>
      </c>
      <c r="I57" s="44">
        <v>0.32431611035401853</v>
      </c>
      <c r="J57" s="44">
        <v>0.32431611035401853</v>
      </c>
      <c r="K57" s="44">
        <v>7.2072157314854834E-2</v>
      </c>
      <c r="L57" s="44">
        <v>7.2072157314854834E-2</v>
      </c>
      <c r="M57" s="44">
        <v>7.2072157314854834E-2</v>
      </c>
      <c r="N57" s="44">
        <v>6.9645861702566425E-2</v>
      </c>
      <c r="O57" s="44">
        <v>6.9645861702566425E-2</v>
      </c>
      <c r="P57" s="44">
        <v>6.9645861702566425E-2</v>
      </c>
      <c r="Q57" s="44">
        <v>6.8848870855173633E-2</v>
      </c>
      <c r="R57" s="44">
        <v>3.9975758035403505E-8</v>
      </c>
      <c r="S57" s="44">
        <v>3.9975758035403505E-8</v>
      </c>
      <c r="T57" s="44">
        <v>3.9975758035403505E-8</v>
      </c>
      <c r="U57" s="44">
        <v>3.9975758035403505E-8</v>
      </c>
      <c r="V57" s="44">
        <v>3.9975758035403505E-8</v>
      </c>
      <c r="W57" s="44">
        <v>3.9975758035403505E-8</v>
      </c>
      <c r="X57" s="45">
        <v>3.9975758035403505E-8</v>
      </c>
    </row>
    <row r="58" spans="1:24" s="3" customFormat="1" ht="15">
      <c r="A58" s="22" t="s">
        <v>42</v>
      </c>
      <c r="B58" s="8"/>
      <c r="C58" s="44">
        <v>3.4619862526005623</v>
      </c>
      <c r="D58" s="44">
        <v>3.4619862526005623</v>
      </c>
      <c r="E58" s="44">
        <v>3.3161459137740303</v>
      </c>
      <c r="F58" s="44">
        <v>3.3161459137740303</v>
      </c>
      <c r="G58" s="44">
        <v>3.3161459137740303</v>
      </c>
      <c r="H58" s="44">
        <v>3.3161459137740303</v>
      </c>
      <c r="I58" s="44">
        <v>3.3161459137740303</v>
      </c>
      <c r="J58" s="44">
        <v>3.3161459137740303</v>
      </c>
      <c r="K58" s="44">
        <v>0.28496819552506375</v>
      </c>
      <c r="L58" s="44">
        <v>0.28496819552506375</v>
      </c>
      <c r="M58" s="44">
        <v>0.28496819552506375</v>
      </c>
      <c r="N58" s="44">
        <v>0.28469646887917149</v>
      </c>
      <c r="O58" s="44">
        <v>0.28469646887917149</v>
      </c>
      <c r="P58" s="44">
        <v>0.28469646887917149</v>
      </c>
      <c r="Q58" s="44">
        <v>0.28325013530379928</v>
      </c>
      <c r="R58" s="44">
        <v>1.8622038435556317E-11</v>
      </c>
      <c r="S58" s="44">
        <v>1.8622038435556317E-11</v>
      </c>
      <c r="T58" s="44">
        <v>1.8622038435556317E-11</v>
      </c>
      <c r="U58" s="44">
        <v>1.8622038435556317E-11</v>
      </c>
      <c r="V58" s="44">
        <v>1.8622038435556317E-11</v>
      </c>
      <c r="W58" s="44">
        <v>1.8622038435556317E-11</v>
      </c>
      <c r="X58" s="45">
        <v>1.8622038435556317E-11</v>
      </c>
    </row>
    <row r="59" spans="1:24" s="3" customFormat="1" ht="15">
      <c r="A59" s="22" t="s">
        <v>43</v>
      </c>
      <c r="B59" s="8"/>
      <c r="C59" s="44">
        <v>1.7018588929147747</v>
      </c>
      <c r="D59" s="44">
        <v>1.7018588929147747</v>
      </c>
      <c r="E59" s="44">
        <v>5.0699167006192054</v>
      </c>
      <c r="F59" s="44">
        <v>5.0699167006192054</v>
      </c>
      <c r="G59" s="44">
        <v>5.0699167006192054</v>
      </c>
      <c r="H59" s="44">
        <v>5.0699167006192054</v>
      </c>
      <c r="I59" s="44">
        <v>5.0699167006192054</v>
      </c>
      <c r="J59" s="44">
        <v>5.0699167006192054</v>
      </c>
      <c r="K59" s="44">
        <v>1.6720874464153335</v>
      </c>
      <c r="L59" s="44">
        <v>1.6720874464153335</v>
      </c>
      <c r="M59" s="44">
        <v>1.6720874464153335</v>
      </c>
      <c r="N59" s="44">
        <v>1.670510008223675</v>
      </c>
      <c r="O59" s="44">
        <v>1.670510008223675</v>
      </c>
      <c r="P59" s="44">
        <v>1.670510008223675</v>
      </c>
      <c r="Q59" s="44">
        <v>1.6639656905525317</v>
      </c>
      <c r="R59" s="44">
        <v>2.5637119633853682E-4</v>
      </c>
      <c r="S59" s="44">
        <v>2.5637119633853682E-4</v>
      </c>
      <c r="T59" s="44">
        <v>2.5637119633853682E-4</v>
      </c>
      <c r="U59" s="44">
        <v>2.5637119633853682E-4</v>
      </c>
      <c r="V59" s="44">
        <v>2.5637119633853682E-4</v>
      </c>
      <c r="W59" s="44">
        <v>2.5637119633853682E-4</v>
      </c>
      <c r="X59" s="45">
        <v>2.5637119633853682E-4</v>
      </c>
    </row>
    <row r="60" spans="1:24" s="3" customFormat="1" ht="15">
      <c r="A60" s="22" t="s">
        <v>44</v>
      </c>
      <c r="B60" s="8"/>
      <c r="C60" s="44">
        <v>1.4808382835736509</v>
      </c>
      <c r="D60" s="44">
        <v>1.4808382835736509</v>
      </c>
      <c r="E60" s="44">
        <v>6.897828846388161</v>
      </c>
      <c r="F60" s="44">
        <v>6.897828846388161</v>
      </c>
      <c r="G60" s="44">
        <v>6.897828846388161</v>
      </c>
      <c r="H60" s="44">
        <v>6.897828846388161</v>
      </c>
      <c r="I60" s="44">
        <v>6.897828846388161</v>
      </c>
      <c r="J60" s="44">
        <v>6.897828846388161</v>
      </c>
      <c r="K60" s="44">
        <v>4.4131793459746955</v>
      </c>
      <c r="L60" s="44">
        <v>4.4131793459746955</v>
      </c>
      <c r="M60" s="44">
        <v>4.4131793459746955</v>
      </c>
      <c r="N60" s="44">
        <v>4.4090163157660793</v>
      </c>
      <c r="O60" s="44">
        <v>4.4090163157660793</v>
      </c>
      <c r="P60" s="44">
        <v>4.4090163157660793</v>
      </c>
      <c r="Q60" s="44">
        <v>4.3979446952667498</v>
      </c>
      <c r="R60" s="44">
        <v>1.2141737500125753</v>
      </c>
      <c r="S60" s="44">
        <v>1.2141737500125753</v>
      </c>
      <c r="T60" s="44">
        <v>1.2141737500125753</v>
      </c>
      <c r="U60" s="44">
        <v>1.2141737500125753</v>
      </c>
      <c r="V60" s="44">
        <v>1.2141737500125753</v>
      </c>
      <c r="W60" s="44">
        <v>1.2141737500125753</v>
      </c>
      <c r="X60" s="45">
        <v>1.2141737500125753</v>
      </c>
    </row>
    <row r="61" spans="1:24" s="3" customFormat="1" ht="15">
      <c r="A61" s="22" t="s">
        <v>45</v>
      </c>
      <c r="B61" s="8"/>
      <c r="C61" s="44">
        <v>0.32952163574494769</v>
      </c>
      <c r="D61" s="44">
        <v>0.32952163574494769</v>
      </c>
      <c r="E61" s="44">
        <v>1.7938398052989777</v>
      </c>
      <c r="F61" s="44">
        <v>1.7938398052989777</v>
      </c>
      <c r="G61" s="44">
        <v>1.7938398052989777</v>
      </c>
      <c r="H61" s="44">
        <v>1.7938398052989777</v>
      </c>
      <c r="I61" s="44">
        <v>1.7938398052989777</v>
      </c>
      <c r="J61" s="44">
        <v>1.7938398052989777</v>
      </c>
      <c r="K61" s="44">
        <v>1.5096151350570366</v>
      </c>
      <c r="L61" s="44">
        <v>1.5096151350570366</v>
      </c>
      <c r="M61" s="44">
        <v>1.5096151350570366</v>
      </c>
      <c r="N61" s="44">
        <v>1.508191088929639</v>
      </c>
      <c r="O61" s="44">
        <v>1.508191088929639</v>
      </c>
      <c r="P61" s="44">
        <v>1.508191088929639</v>
      </c>
      <c r="Q61" s="44">
        <v>1.5057555702382481</v>
      </c>
      <c r="R61" s="44">
        <v>1.1372352555352765</v>
      </c>
      <c r="S61" s="44">
        <v>1.1372352555352765</v>
      </c>
      <c r="T61" s="44">
        <v>1.1372352555352765</v>
      </c>
      <c r="U61" s="44">
        <v>1.1372352555352765</v>
      </c>
      <c r="V61" s="44">
        <v>1.1372352555352765</v>
      </c>
      <c r="W61" s="44">
        <v>1.1372352555352765</v>
      </c>
      <c r="X61" s="45">
        <v>1.1372352555352765</v>
      </c>
    </row>
    <row r="62" spans="1:24" s="3" customFormat="1" ht="15">
      <c r="A62" s="22" t="s">
        <v>46</v>
      </c>
      <c r="B62" s="8"/>
      <c r="C62" s="44">
        <v>0.82983192416258167</v>
      </c>
      <c r="D62" s="44">
        <v>0.82983192416258167</v>
      </c>
      <c r="E62" s="44">
        <v>4.7267972545787007</v>
      </c>
      <c r="F62" s="44">
        <v>4.7267972545787007</v>
      </c>
      <c r="G62" s="44">
        <v>4.7267972545787007</v>
      </c>
      <c r="H62" s="44">
        <v>4.7267972545787007</v>
      </c>
      <c r="I62" s="44">
        <v>4.7267972545787007</v>
      </c>
      <c r="J62" s="44">
        <v>4.7267972545787007</v>
      </c>
      <c r="K62" s="44">
        <v>4.3205817599063963</v>
      </c>
      <c r="L62" s="44">
        <v>4.3205817599063963</v>
      </c>
      <c r="M62" s="44">
        <v>4.3205817599063963</v>
      </c>
      <c r="N62" s="44">
        <v>4.316506080230786</v>
      </c>
      <c r="O62" s="44">
        <v>4.316506080230786</v>
      </c>
      <c r="P62" s="44">
        <v>4.316506080230786</v>
      </c>
      <c r="Q62" s="44">
        <v>4.3109191104502367</v>
      </c>
      <c r="R62" s="44">
        <v>3.928023118127884</v>
      </c>
      <c r="S62" s="44">
        <v>3.928023118127884</v>
      </c>
      <c r="T62" s="44">
        <v>3.928023118127884</v>
      </c>
      <c r="U62" s="44">
        <v>3.928023118127884</v>
      </c>
      <c r="V62" s="44">
        <v>3.928023118127884</v>
      </c>
      <c r="W62" s="44">
        <v>3.928023118127884</v>
      </c>
      <c r="X62" s="45">
        <v>3.928023118127884</v>
      </c>
    </row>
    <row r="63" spans="1:24" s="3" customFormat="1" ht="15">
      <c r="A63" s="22" t="s">
        <v>47</v>
      </c>
      <c r="B63" s="8"/>
      <c r="C63" s="44">
        <v>0.19690927014027354</v>
      </c>
      <c r="D63" s="44">
        <v>0.19690927014027354</v>
      </c>
      <c r="E63" s="44">
        <v>1.189218058387927</v>
      </c>
      <c r="F63" s="44">
        <v>1.189218058387927</v>
      </c>
      <c r="G63" s="44">
        <v>1.189218058387927</v>
      </c>
      <c r="H63" s="44">
        <v>1.189218058387927</v>
      </c>
      <c r="I63" s="44">
        <v>1.189218058387927</v>
      </c>
      <c r="J63" s="44">
        <v>1.189218058387927</v>
      </c>
      <c r="K63" s="44">
        <v>1.2202571431183318</v>
      </c>
      <c r="L63" s="44">
        <v>1.2202571431183318</v>
      </c>
      <c r="M63" s="44">
        <v>1.2202571431183318</v>
      </c>
      <c r="N63" s="44">
        <v>1.2191060534021714</v>
      </c>
      <c r="O63" s="44">
        <v>1.2191060534021714</v>
      </c>
      <c r="P63" s="44">
        <v>1.2191060534021714</v>
      </c>
      <c r="Q63" s="44">
        <v>1.2181235171650207</v>
      </c>
      <c r="R63" s="44">
        <v>1.2364261600570132</v>
      </c>
      <c r="S63" s="44">
        <v>1.2364261600570132</v>
      </c>
      <c r="T63" s="44">
        <v>1.2364261600570132</v>
      </c>
      <c r="U63" s="44">
        <v>1.2364261600570132</v>
      </c>
      <c r="V63" s="44">
        <v>1.2364261600570132</v>
      </c>
      <c r="W63" s="44">
        <v>1.2364261600570132</v>
      </c>
      <c r="X63" s="45">
        <v>1.2364261600570132</v>
      </c>
    </row>
    <row r="64" spans="1:24" s="3" customFormat="1" ht="15">
      <c r="A64" s="22" t="s">
        <v>48</v>
      </c>
      <c r="B64" s="8"/>
      <c r="C64" s="44">
        <v>0.58269069735387058</v>
      </c>
      <c r="D64" s="44">
        <v>0.58269069735387058</v>
      </c>
      <c r="E64" s="44">
        <v>3.5674064152328988</v>
      </c>
      <c r="F64" s="44">
        <v>3.5674064152328988</v>
      </c>
      <c r="G64" s="44">
        <v>3.5674064152328988</v>
      </c>
      <c r="H64" s="44">
        <v>3.5674064152328988</v>
      </c>
      <c r="I64" s="44">
        <v>3.5674064152328988</v>
      </c>
      <c r="J64" s="44">
        <v>3.5674064152328988</v>
      </c>
      <c r="K64" s="44">
        <v>3.7579510898341244</v>
      </c>
      <c r="L64" s="44">
        <v>3.7579510898341244</v>
      </c>
      <c r="M64" s="44">
        <v>3.7579510898341244</v>
      </c>
      <c r="N64" s="44">
        <v>3.7544061494273131</v>
      </c>
      <c r="O64" s="44">
        <v>3.7544061494273131</v>
      </c>
      <c r="P64" s="44">
        <v>3.7544061494273131</v>
      </c>
      <c r="Q64" s="44">
        <v>3.7518327253723323</v>
      </c>
      <c r="R64" s="44">
        <v>3.8712457916267971</v>
      </c>
      <c r="S64" s="44">
        <v>3.8712457916267971</v>
      </c>
      <c r="T64" s="44">
        <v>3.8712457916267971</v>
      </c>
      <c r="U64" s="44">
        <v>3.8712457916267971</v>
      </c>
      <c r="V64" s="44">
        <v>3.8712457916267971</v>
      </c>
      <c r="W64" s="44">
        <v>3.8712457916267971</v>
      </c>
      <c r="X64" s="45">
        <v>3.8712457916267971</v>
      </c>
    </row>
    <row r="65" spans="1:24" s="3" customFormat="1" ht="15">
      <c r="A65" s="22" t="s">
        <v>49</v>
      </c>
      <c r="B65" s="8"/>
      <c r="C65" s="44">
        <v>1.085010264038242</v>
      </c>
      <c r="D65" s="44">
        <v>1.085010264038242</v>
      </c>
      <c r="E65" s="44">
        <v>6.8179962844522741</v>
      </c>
      <c r="F65" s="44">
        <v>6.8179962844522741</v>
      </c>
      <c r="G65" s="44">
        <v>6.8179962844522741</v>
      </c>
      <c r="H65" s="44">
        <v>6.8179962844522741</v>
      </c>
      <c r="I65" s="44">
        <v>6.8179962844522741</v>
      </c>
      <c r="J65" s="44">
        <v>6.8179962844522741</v>
      </c>
      <c r="K65" s="44">
        <v>7.5736103646251216</v>
      </c>
      <c r="L65" s="44">
        <v>7.5736103646251216</v>
      </c>
      <c r="M65" s="44">
        <v>7.5736103646251216</v>
      </c>
      <c r="N65" s="44">
        <v>7.5664660466802784</v>
      </c>
      <c r="O65" s="44">
        <v>7.5664660466802784</v>
      </c>
      <c r="P65" s="44">
        <v>7.5664660466802784</v>
      </c>
      <c r="Q65" s="44">
        <v>7.5631802132115151</v>
      </c>
      <c r="R65" s="44">
        <v>8.0426302203283253</v>
      </c>
      <c r="S65" s="44">
        <v>8.0426302203283253</v>
      </c>
      <c r="T65" s="44">
        <v>8.0426302203283253</v>
      </c>
      <c r="U65" s="44">
        <v>8.0426302203283253</v>
      </c>
      <c r="V65" s="44">
        <v>8.0426302203283253</v>
      </c>
      <c r="W65" s="44">
        <v>8.0426302203283253</v>
      </c>
      <c r="X65" s="45">
        <v>8.0426302203283253</v>
      </c>
    </row>
    <row r="66" spans="1:24" s="3" customFormat="1" ht="15">
      <c r="A66" s="22" t="s">
        <v>50</v>
      </c>
      <c r="B66" s="8"/>
      <c r="C66" s="44">
        <v>10.191060574821272</v>
      </c>
      <c r="D66" s="44">
        <v>10.191060574821272</v>
      </c>
      <c r="E66" s="44">
        <v>65.052299376206221</v>
      </c>
      <c r="F66" s="44">
        <v>65.052299376206221</v>
      </c>
      <c r="G66" s="44">
        <v>65.052299376206221</v>
      </c>
      <c r="H66" s="44">
        <v>65.052299376206221</v>
      </c>
      <c r="I66" s="44">
        <v>65.052299376206236</v>
      </c>
      <c r="J66" s="44">
        <v>65.052299376206236</v>
      </c>
      <c r="K66" s="44">
        <v>74.601828060002944</v>
      </c>
      <c r="L66" s="44">
        <v>74.601828060002944</v>
      </c>
      <c r="M66" s="44">
        <v>74.601828060002944</v>
      </c>
      <c r="N66" s="44">
        <v>74.531454862377572</v>
      </c>
      <c r="O66" s="44">
        <v>74.531454862377572</v>
      </c>
      <c r="P66" s="44">
        <v>74.531454862377572</v>
      </c>
      <c r="Q66" s="44">
        <v>74.510857889464674</v>
      </c>
      <c r="R66" s="44">
        <v>80.554242720517422</v>
      </c>
      <c r="S66" s="44">
        <v>80.554242720517422</v>
      </c>
      <c r="T66" s="44">
        <v>80.554242720517422</v>
      </c>
      <c r="U66" s="44">
        <v>80.554242720517422</v>
      </c>
      <c r="V66" s="44">
        <v>80.554242720517422</v>
      </c>
      <c r="W66" s="44">
        <v>80.554242720517422</v>
      </c>
      <c r="X66" s="45">
        <v>80.554242720517422</v>
      </c>
    </row>
    <row r="67" spans="1:24" s="3" customFormat="1" ht="15.75" thickBot="1">
      <c r="A67" s="23"/>
      <c r="B67" s="10"/>
      <c r="C67" s="20">
        <f>SUM(C54:C66)</f>
        <v>100</v>
      </c>
      <c r="D67" s="20">
        <f t="shared" ref="D67:X67" si="20">SUM(D54:D66)</f>
        <v>100</v>
      </c>
      <c r="E67" s="20">
        <f t="shared" si="20"/>
        <v>100</v>
      </c>
      <c r="F67" s="20">
        <f t="shared" si="20"/>
        <v>100</v>
      </c>
      <c r="G67" s="20">
        <f t="shared" si="20"/>
        <v>100</v>
      </c>
      <c r="H67" s="20">
        <f t="shared" si="20"/>
        <v>100</v>
      </c>
      <c r="I67" s="20">
        <f t="shared" si="20"/>
        <v>100.00000000000001</v>
      </c>
      <c r="J67" s="20">
        <f t="shared" si="20"/>
        <v>100.00000000000001</v>
      </c>
      <c r="K67" s="20">
        <f t="shared" si="20"/>
        <v>100</v>
      </c>
      <c r="L67" s="20">
        <f t="shared" si="20"/>
        <v>100</v>
      </c>
      <c r="M67" s="20">
        <f t="shared" si="20"/>
        <v>100</v>
      </c>
      <c r="N67" s="20">
        <f t="shared" si="20"/>
        <v>99.999999999999986</v>
      </c>
      <c r="O67" s="20">
        <f t="shared" si="20"/>
        <v>99.999999999999986</v>
      </c>
      <c r="P67" s="20">
        <f t="shared" si="20"/>
        <v>99.999999999999986</v>
      </c>
      <c r="Q67" s="20">
        <f t="shared" si="20"/>
        <v>100</v>
      </c>
      <c r="R67" s="20">
        <f t="shared" si="20"/>
        <v>100</v>
      </c>
      <c r="S67" s="20">
        <f t="shared" si="20"/>
        <v>100</v>
      </c>
      <c r="T67" s="20">
        <f t="shared" si="20"/>
        <v>100</v>
      </c>
      <c r="U67" s="20">
        <f t="shared" si="20"/>
        <v>100</v>
      </c>
      <c r="V67" s="20">
        <f t="shared" si="20"/>
        <v>100</v>
      </c>
      <c r="W67" s="20">
        <f t="shared" si="20"/>
        <v>100</v>
      </c>
      <c r="X67" s="21">
        <f t="shared" si="20"/>
        <v>100</v>
      </c>
    </row>
    <row r="68" spans="1:24" ht="15">
      <c r="A68" s="107" t="s">
        <v>89</v>
      </c>
    </row>
    <row r="69" spans="1:24" ht="15">
      <c r="A69" s="108" t="s">
        <v>90</v>
      </c>
    </row>
    <row r="70" spans="1:24" ht="15">
      <c r="A70" s="108" t="s">
        <v>91</v>
      </c>
    </row>
    <row r="71" spans="1:24" ht="15">
      <c r="A71" s="112" t="s">
        <v>102</v>
      </c>
    </row>
  </sheetData>
  <mergeCells count="5">
    <mergeCell ref="A15:X15"/>
    <mergeCell ref="A29:X29"/>
    <mergeCell ref="A41:X41"/>
    <mergeCell ref="A53:X53"/>
    <mergeCell ref="A2:X2"/>
  </mergeCells>
  <printOptions horizontalCentered="1" verticalCentered="1"/>
  <pageMargins left="0.2" right="0.2" top="0.25" bottom="0.25" header="0.05" footer="0.05"/>
  <pageSetup paperSize="8" scale="76" orientation="landscape" horizontalDpi="4294967292" verticalDpi="0" r:id="rId1"/>
  <headerFooter>
    <oddHeader>&amp;L&amp;14HEAT and MATERIAL BALANCE (H and M REPORT)</oddHeader>
  </headerFooter>
  <ignoredErrors>
    <ignoredError sqref="F8:F12 G8: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A70"/>
  <sheetViews>
    <sheetView zoomScale="70" zoomScaleNormal="70" workbookViewId="0">
      <selection sqref="A1:AA70"/>
    </sheetView>
  </sheetViews>
  <sheetFormatPr defaultRowHeight="15"/>
  <cols>
    <col min="1" max="1" width="19.28515625" style="1" bestFit="1" customWidth="1"/>
    <col min="2" max="2" width="9.140625" style="2"/>
    <col min="3" max="3" width="9.85546875" style="1" bestFit="1" customWidth="1"/>
    <col min="4" max="18" width="9.28515625" style="1" bestFit="1" customWidth="1"/>
    <col min="19" max="20" width="10.42578125" style="1" bestFit="1" customWidth="1"/>
    <col min="21" max="22" width="10.28515625" style="1" bestFit="1" customWidth="1"/>
    <col min="23" max="23" width="8.28515625" style="1" customWidth="1"/>
    <col min="24" max="24" width="10.28515625" style="1" bestFit="1" customWidth="1"/>
    <col min="25" max="25" width="9.28515625" style="1" bestFit="1" customWidth="1"/>
    <col min="26" max="26" width="9.140625" style="1"/>
    <col min="27" max="27" width="9.7109375" style="1" customWidth="1"/>
    <col min="28" max="16384" width="9.140625" style="1"/>
  </cols>
  <sheetData>
    <row r="1" spans="1:27" s="100" customFormat="1" ht="22.5" customHeight="1" thickBot="1">
      <c r="A1" s="96" t="s">
        <v>0</v>
      </c>
      <c r="B1" s="97"/>
      <c r="C1" s="98" t="s">
        <v>62</v>
      </c>
      <c r="D1" s="98" t="s">
        <v>70</v>
      </c>
      <c r="E1" s="98" t="s">
        <v>71</v>
      </c>
      <c r="F1" s="98" t="s">
        <v>72</v>
      </c>
      <c r="G1" s="98" t="s">
        <v>73</v>
      </c>
      <c r="H1" s="98" t="s">
        <v>74</v>
      </c>
      <c r="I1" s="98" t="s">
        <v>75</v>
      </c>
      <c r="J1" s="98" t="s">
        <v>76</v>
      </c>
      <c r="K1" s="98" t="s">
        <v>77</v>
      </c>
      <c r="L1" s="98" t="s">
        <v>63</v>
      </c>
      <c r="M1" s="98" t="s">
        <v>64</v>
      </c>
      <c r="N1" s="98" t="s">
        <v>65</v>
      </c>
      <c r="O1" s="98" t="s">
        <v>66</v>
      </c>
      <c r="P1" s="98" t="s">
        <v>67</v>
      </c>
      <c r="Q1" s="98" t="s">
        <v>68</v>
      </c>
      <c r="R1" s="98" t="s">
        <v>69</v>
      </c>
      <c r="S1" s="98" t="s">
        <v>78</v>
      </c>
      <c r="T1" s="98" t="s">
        <v>79</v>
      </c>
      <c r="U1" s="98" t="s">
        <v>80</v>
      </c>
      <c r="V1" s="98" t="s">
        <v>81</v>
      </c>
      <c r="W1" s="98" t="s">
        <v>82</v>
      </c>
      <c r="X1" s="98" t="s">
        <v>83</v>
      </c>
      <c r="Y1" s="97" t="s">
        <v>84</v>
      </c>
      <c r="Z1" s="97" t="s">
        <v>85</v>
      </c>
      <c r="AA1" s="99" t="s">
        <v>86</v>
      </c>
    </row>
    <row r="2" spans="1:27" ht="16.5" thickBo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8"/>
    </row>
    <row r="3" spans="1:27">
      <c r="A3" s="29" t="s">
        <v>87</v>
      </c>
      <c r="B3" s="30"/>
      <c r="C3" s="31" t="s">
        <v>88</v>
      </c>
      <c r="D3" s="31" t="s">
        <v>88</v>
      </c>
      <c r="E3" s="31" t="s">
        <v>88</v>
      </c>
      <c r="F3" s="31" t="s">
        <v>88</v>
      </c>
      <c r="G3" s="31" t="s">
        <v>88</v>
      </c>
      <c r="H3" s="31" t="s">
        <v>88</v>
      </c>
      <c r="I3" s="31" t="s">
        <v>88</v>
      </c>
      <c r="J3" s="31" t="s">
        <v>88</v>
      </c>
      <c r="K3" s="31" t="s">
        <v>88</v>
      </c>
      <c r="L3" s="31" t="s">
        <v>88</v>
      </c>
      <c r="M3" s="31" t="s">
        <v>88</v>
      </c>
      <c r="N3" s="31" t="s">
        <v>88</v>
      </c>
      <c r="O3" s="31" t="s">
        <v>88</v>
      </c>
      <c r="P3" s="31" t="s">
        <v>88</v>
      </c>
      <c r="Q3" s="31" t="s">
        <v>88</v>
      </c>
      <c r="R3" s="31" t="s">
        <v>59</v>
      </c>
      <c r="S3" s="31" t="s">
        <v>60</v>
      </c>
      <c r="T3" s="31" t="s">
        <v>60</v>
      </c>
      <c r="U3" s="31" t="s">
        <v>60</v>
      </c>
      <c r="V3" s="31" t="s">
        <v>60</v>
      </c>
      <c r="W3" s="31" t="s">
        <v>60</v>
      </c>
      <c r="X3" s="31" t="s">
        <v>60</v>
      </c>
      <c r="Y3" s="31" t="s">
        <v>60</v>
      </c>
      <c r="Z3" s="31" t="s">
        <v>60</v>
      </c>
      <c r="AA3" s="32" t="s">
        <v>60</v>
      </c>
    </row>
    <row r="4" spans="1:27" s="72" customFormat="1">
      <c r="A4" s="70" t="s">
        <v>2</v>
      </c>
      <c r="B4" s="11"/>
      <c r="C4" s="14">
        <v>1</v>
      </c>
      <c r="D4" s="14">
        <v>1</v>
      </c>
      <c r="E4" s="14">
        <v>1</v>
      </c>
      <c r="F4" s="14">
        <v>1</v>
      </c>
      <c r="G4" s="14">
        <v>0.99999999999969691</v>
      </c>
      <c r="H4" s="14">
        <v>0.99999999932008787</v>
      </c>
      <c r="I4" s="14">
        <v>0.99999916181924708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5">
        <v>0</v>
      </c>
    </row>
    <row r="5" spans="1:27">
      <c r="A5" s="22" t="s">
        <v>3</v>
      </c>
      <c r="B5" s="6" t="s">
        <v>53</v>
      </c>
      <c r="C5" s="12">
        <v>45.106597346969068</v>
      </c>
      <c r="D5" s="12">
        <v>45.106597346969068</v>
      </c>
      <c r="E5" s="12">
        <v>45.106597331237481</v>
      </c>
      <c r="F5" s="12">
        <v>54.7114193002447</v>
      </c>
      <c r="G5" s="12">
        <v>55.965075147345715</v>
      </c>
      <c r="H5" s="12">
        <v>55.141850989407487</v>
      </c>
      <c r="I5" s="12">
        <v>42</v>
      </c>
      <c r="J5" s="12">
        <v>41.430679721415856</v>
      </c>
      <c r="K5" s="12">
        <v>150.03732659156424</v>
      </c>
      <c r="L5" s="12">
        <v>70</v>
      </c>
      <c r="M5" s="12">
        <v>56.769255591711669</v>
      </c>
      <c r="N5" s="12">
        <v>56.363107363055349</v>
      </c>
      <c r="O5" s="12">
        <v>140.48080563219338</v>
      </c>
      <c r="P5" s="12">
        <v>80</v>
      </c>
      <c r="Q5" s="12">
        <v>79.339147168965894</v>
      </c>
      <c r="R5" s="12">
        <v>14.166501586183244</v>
      </c>
      <c r="S5" s="12">
        <v>45.106597346969068</v>
      </c>
      <c r="T5" s="12">
        <v>45.41294534040145</v>
      </c>
      <c r="U5" s="12">
        <v>45.106597346969068</v>
      </c>
      <c r="V5" s="12">
        <v>45.41294534040145</v>
      </c>
      <c r="W5" s="12">
        <v>54.7114193002447</v>
      </c>
      <c r="X5" s="12">
        <v>45</v>
      </c>
      <c r="Y5" s="12">
        <v>25.018972035949616</v>
      </c>
      <c r="Z5" s="12">
        <v>15.214413070196144</v>
      </c>
      <c r="AA5" s="13">
        <v>45</v>
      </c>
    </row>
    <row r="6" spans="1:27">
      <c r="A6" s="22" t="s">
        <v>4</v>
      </c>
      <c r="B6" s="5" t="s">
        <v>5</v>
      </c>
      <c r="C6" s="14">
        <f>ROUND(1880.53292383635,0)</f>
        <v>1881</v>
      </c>
      <c r="D6" s="14">
        <f>ROUND(1880.53292383635,0)</f>
        <v>1881</v>
      </c>
      <c r="E6" s="14">
        <f>ROUND(1880.53292383635,0)</f>
        <v>1881</v>
      </c>
      <c r="F6" s="14">
        <f>ROUND(348.15972017965,0)</f>
        <v>348</v>
      </c>
      <c r="G6" s="14">
        <f>ROUND(348.15972017965,0)</f>
        <v>348</v>
      </c>
      <c r="H6" s="14">
        <f>ROUND(348.15972017965,0)</f>
        <v>348</v>
      </c>
      <c r="I6" s="14">
        <f>ROUND(298.15972017965,0)</f>
        <v>298</v>
      </c>
      <c r="J6" s="14">
        <f>ROUND(248.15972017965,0)</f>
        <v>248</v>
      </c>
      <c r="K6" s="14">
        <f>ROUND(1930.20118250289,0)</f>
        <v>1930</v>
      </c>
      <c r="L6" s="14">
        <f>ROUND(1880.20118250289,0)</f>
        <v>1880</v>
      </c>
      <c r="M6" s="14">
        <f>ROUND(1880.20118250289,0)</f>
        <v>1880</v>
      </c>
      <c r="N6" s="14">
        <f>ROUND(1830.20118250289,0)</f>
        <v>1830</v>
      </c>
      <c r="O6" s="14">
        <f>ROUND(5515.80764895955,0)</f>
        <v>5516</v>
      </c>
      <c r="P6" s="14">
        <f>ROUND(5465.80764895955,0)</f>
        <v>5466</v>
      </c>
      <c r="Q6" s="14">
        <f>ROUND(5365.80764895955,0)</f>
        <v>5366</v>
      </c>
      <c r="R6" s="14">
        <f>ROUND(4241.65949138849,0)</f>
        <v>4242</v>
      </c>
      <c r="S6" s="14">
        <f>ROUND(1880.53292383635,0)</f>
        <v>1881</v>
      </c>
      <c r="T6" s="14">
        <f>ROUND(448.15972017965,0)</f>
        <v>448</v>
      </c>
      <c r="U6" s="14">
        <f>ROUND(1880.53292383635,0)</f>
        <v>1881</v>
      </c>
      <c r="V6" s="14">
        <f>ROUND(448.15972017965,0)</f>
        <v>448</v>
      </c>
      <c r="W6" s="14">
        <f>ROUND(348.15972017965,0)</f>
        <v>348</v>
      </c>
      <c r="X6" s="14">
        <f>ROUND(348.185713421407,0)</f>
        <v>348</v>
      </c>
      <c r="Y6" s="14">
        <f>ROUND(650,0)</f>
        <v>650</v>
      </c>
      <c r="Z6" s="14">
        <f>ROUND(868.688037989433,0)</f>
        <v>869</v>
      </c>
      <c r="AA6" s="15">
        <f>ROUND(800,0)</f>
        <v>800</v>
      </c>
    </row>
    <row r="7" spans="1:27">
      <c r="A7" s="22" t="s">
        <v>4</v>
      </c>
      <c r="B7" s="5" t="s">
        <v>61</v>
      </c>
      <c r="C7" s="14">
        <f t="shared" ref="C7:K7" si="0">C6*0.145</f>
        <v>272.745</v>
      </c>
      <c r="D7" s="14">
        <f t="shared" si="0"/>
        <v>272.745</v>
      </c>
      <c r="E7" s="14">
        <f t="shared" si="0"/>
        <v>272.745</v>
      </c>
      <c r="F7" s="14">
        <f t="shared" si="0"/>
        <v>50.459999999999994</v>
      </c>
      <c r="G7" s="14">
        <f t="shared" si="0"/>
        <v>50.459999999999994</v>
      </c>
      <c r="H7" s="14">
        <f t="shared" si="0"/>
        <v>50.459999999999994</v>
      </c>
      <c r="I7" s="14">
        <f t="shared" si="0"/>
        <v>43.209999999999994</v>
      </c>
      <c r="J7" s="14">
        <f t="shared" si="0"/>
        <v>35.96</v>
      </c>
      <c r="K7" s="14">
        <f t="shared" si="0"/>
        <v>279.84999999999997</v>
      </c>
      <c r="L7" s="14">
        <f t="shared" ref="L7:AA7" si="1">L6*0.145</f>
        <v>272.59999999999997</v>
      </c>
      <c r="M7" s="14">
        <f t="shared" si="1"/>
        <v>272.59999999999997</v>
      </c>
      <c r="N7" s="14">
        <f t="shared" si="1"/>
        <v>265.34999999999997</v>
      </c>
      <c r="O7" s="14">
        <f t="shared" si="1"/>
        <v>799.81999999999994</v>
      </c>
      <c r="P7" s="14">
        <f t="shared" si="1"/>
        <v>792.56999999999994</v>
      </c>
      <c r="Q7" s="14">
        <f t="shared" si="1"/>
        <v>778.06999999999994</v>
      </c>
      <c r="R7" s="14">
        <f t="shared" si="1"/>
        <v>615.08999999999992</v>
      </c>
      <c r="S7" s="14">
        <f t="shared" si="1"/>
        <v>272.745</v>
      </c>
      <c r="T7" s="14">
        <f t="shared" si="1"/>
        <v>64.959999999999994</v>
      </c>
      <c r="U7" s="14">
        <f t="shared" si="1"/>
        <v>272.745</v>
      </c>
      <c r="V7" s="14">
        <f t="shared" si="1"/>
        <v>64.959999999999994</v>
      </c>
      <c r="W7" s="14">
        <f t="shared" si="1"/>
        <v>50.459999999999994</v>
      </c>
      <c r="X7" s="14">
        <f t="shared" si="1"/>
        <v>50.459999999999994</v>
      </c>
      <c r="Y7" s="14">
        <f t="shared" si="1"/>
        <v>94.25</v>
      </c>
      <c r="Z7" s="14">
        <f t="shared" si="1"/>
        <v>126.005</v>
      </c>
      <c r="AA7" s="15">
        <f t="shared" si="1"/>
        <v>115.99999999999999</v>
      </c>
    </row>
    <row r="8" spans="1:27">
      <c r="A8" s="22" t="s">
        <v>6</v>
      </c>
      <c r="B8" s="5" t="s">
        <v>7</v>
      </c>
      <c r="C8" s="14">
        <f>ROUND(3898.01470988085,0)</f>
        <v>3898</v>
      </c>
      <c r="D8" s="14">
        <f>ROUND(2073.58990513509,0)</f>
        <v>2074</v>
      </c>
      <c r="E8" s="14">
        <f>ROUND(5971.60461501593,0)</f>
        <v>5972</v>
      </c>
      <c r="F8" s="14">
        <f>ROUND(3754.93955866076,0)</f>
        <v>3755</v>
      </c>
      <c r="G8" s="14">
        <f>ROUND(2252.41743050406,0)</f>
        <v>2252</v>
      </c>
      <c r="H8" s="14">
        <f>ROUND(6007.35698916482,0)</f>
        <v>6007</v>
      </c>
      <c r="I8" s="14">
        <f>ROUND(6007.35698916482,0)</f>
        <v>6007</v>
      </c>
      <c r="J8" s="14">
        <f>ROUND(6007.32789589543,0)</f>
        <v>6007</v>
      </c>
      <c r="K8" s="14">
        <f>ROUND(6007.32789589543,0)</f>
        <v>6007</v>
      </c>
      <c r="L8" s="14">
        <f>ROUND(6007.32789589543,0)</f>
        <v>6007</v>
      </c>
      <c r="M8" s="14">
        <f t="shared" ref="M8:R8" si="2">ROUND(12478.9325109114,0)</f>
        <v>12479</v>
      </c>
      <c r="N8" s="14">
        <f t="shared" si="2"/>
        <v>12479</v>
      </c>
      <c r="O8" s="14">
        <f t="shared" si="2"/>
        <v>12479</v>
      </c>
      <c r="P8" s="14">
        <f t="shared" si="2"/>
        <v>12479</v>
      </c>
      <c r="Q8" s="14">
        <f t="shared" si="2"/>
        <v>12479</v>
      </c>
      <c r="R8" s="14">
        <f t="shared" si="2"/>
        <v>12479</v>
      </c>
      <c r="S8" s="14">
        <f>ROUND(48833.3356929293,0)</f>
        <v>48833</v>
      </c>
      <c r="T8" s="14">
        <f>ROUND(48833.3356929293,0)</f>
        <v>48833</v>
      </c>
      <c r="U8" s="14">
        <f>ROUND(25977.4063115391,0)</f>
        <v>25977</v>
      </c>
      <c r="V8" s="14">
        <f>ROUND(25977.4063115391,0)</f>
        <v>25977</v>
      </c>
      <c r="W8" s="14">
        <f>ROUND(0,0)</f>
        <v>0</v>
      </c>
      <c r="X8" s="14">
        <f>ROUND(74810.7420044684,0)</f>
        <v>74811</v>
      </c>
      <c r="Y8" s="14">
        <f>ROUND(12219.7942613728,0)</f>
        <v>12220</v>
      </c>
      <c r="Z8" s="14">
        <f>ROUND(12247.7919406297,0)</f>
        <v>12248</v>
      </c>
      <c r="AA8" s="15">
        <f>ROUND(12229.291812256,0)</f>
        <v>12229</v>
      </c>
    </row>
    <row r="9" spans="1:27">
      <c r="A9" s="22" t="s">
        <v>8</v>
      </c>
      <c r="B9" s="5" t="s">
        <v>9</v>
      </c>
      <c r="C9" s="16">
        <f>ROUND(161.462067832807,0)</f>
        <v>161</v>
      </c>
      <c r="D9" s="16">
        <f>ROUND(85.8914444503417,0)</f>
        <v>86</v>
      </c>
      <c r="E9" s="16">
        <f>ROUND(247.353512283149,0)</f>
        <v>247</v>
      </c>
      <c r="F9" s="16">
        <f>ROUND(104.574031491331,0)</f>
        <v>105</v>
      </c>
      <c r="G9" s="16">
        <f>ROUND(53.1219338388428,0)</f>
        <v>53</v>
      </c>
      <c r="H9" s="16">
        <f>ROUND(157.695965330174,0)</f>
        <v>158</v>
      </c>
      <c r="I9" s="16">
        <f>ROUND(157.695965330174,0)</f>
        <v>158</v>
      </c>
      <c r="J9" s="16">
        <f>ROUND(157.695843538225,0)</f>
        <v>158</v>
      </c>
      <c r="K9" s="16">
        <f>ROUND(157.695843538225,0)</f>
        <v>158</v>
      </c>
      <c r="L9" s="16">
        <f>ROUND(157.695843538225,0)</f>
        <v>158</v>
      </c>
      <c r="M9" s="16">
        <f t="shared" ref="M9:R9" si="3">ROUND(418.140606811131,0)</f>
        <v>418</v>
      </c>
      <c r="N9" s="16">
        <f t="shared" si="3"/>
        <v>418</v>
      </c>
      <c r="O9" s="16">
        <f t="shared" si="3"/>
        <v>418</v>
      </c>
      <c r="P9" s="16">
        <f t="shared" si="3"/>
        <v>418</v>
      </c>
      <c r="Q9" s="16">
        <f t="shared" si="3"/>
        <v>418</v>
      </c>
      <c r="R9" s="16">
        <f t="shared" si="3"/>
        <v>418</v>
      </c>
      <c r="S9" s="16">
        <f>ROUND(2709.25001028338,0)</f>
        <v>2709</v>
      </c>
      <c r="T9" s="16">
        <f>ROUND(2709.25001028338,0)</f>
        <v>2709</v>
      </c>
      <c r="U9" s="16">
        <f>ROUND(1441.21402558342,0)</f>
        <v>1441</v>
      </c>
      <c r="V9" s="16">
        <f>ROUND(1441.21402558342,0)</f>
        <v>1441</v>
      </c>
      <c r="W9" s="16">
        <f>ROUND(0,0)</f>
        <v>0</v>
      </c>
      <c r="X9" s="16">
        <f>ROUND(4150.11896654264,0)</f>
        <v>4150</v>
      </c>
      <c r="Y9" s="16">
        <f>ROUND(678.162722506123,0)</f>
        <v>678</v>
      </c>
      <c r="Z9" s="16">
        <f>ROUND(679.86253836448,0)</f>
        <v>680</v>
      </c>
      <c r="AA9" s="17">
        <f>ROUND(678.835614956799,0)</f>
        <v>679</v>
      </c>
    </row>
    <row r="10" spans="1:27">
      <c r="A10" s="22" t="s">
        <v>10</v>
      </c>
      <c r="B10" s="5"/>
      <c r="C10" s="14">
        <f>ROUND(24.141984319916,1)</f>
        <v>24.1</v>
      </c>
      <c r="D10" s="14">
        <f>ROUND(24.141984319916,1)</f>
        <v>24.1</v>
      </c>
      <c r="E10" s="14">
        <f>ROUND(24.141984319916,1)</f>
        <v>24.1</v>
      </c>
      <c r="F10" s="14">
        <f>ROUND(35.9069981821637,1)</f>
        <v>35.9</v>
      </c>
      <c r="G10" s="14">
        <f>ROUND(42.400892959531,1)</f>
        <v>42.4</v>
      </c>
      <c r="H10" s="14">
        <f>ROUND(38.0945509708317,1)</f>
        <v>38.1</v>
      </c>
      <c r="I10" s="14">
        <f>ROUND(38.0945509708317,1)</f>
        <v>38.1</v>
      </c>
      <c r="J10" s="14">
        <f>ROUND(38.0943959023198,1)</f>
        <v>38.1</v>
      </c>
      <c r="K10" s="14">
        <f>ROUND(38.0943959023198,1)</f>
        <v>38.1</v>
      </c>
      <c r="L10" s="14">
        <f>ROUND(38.0943959023198,1)</f>
        <v>38.1</v>
      </c>
      <c r="M10" s="14">
        <f t="shared" ref="M10:R10" si="4">ROUND(29.8438666506933,1)</f>
        <v>29.8</v>
      </c>
      <c r="N10" s="14">
        <f t="shared" si="4"/>
        <v>29.8</v>
      </c>
      <c r="O10" s="14">
        <f t="shared" si="4"/>
        <v>29.8</v>
      </c>
      <c r="P10" s="14">
        <f t="shared" si="4"/>
        <v>29.8</v>
      </c>
      <c r="Q10" s="14">
        <f t="shared" si="4"/>
        <v>29.8</v>
      </c>
      <c r="R10" s="14">
        <f t="shared" si="4"/>
        <v>29.8</v>
      </c>
      <c r="S10" s="14">
        <f>ROUND(18.0246693762387,1)</f>
        <v>18</v>
      </c>
      <c r="T10" s="14">
        <f>ROUND(18.0246693762387,1)</f>
        <v>18</v>
      </c>
      <c r="U10" s="14">
        <f>ROUND(18.0246693762387,1)</f>
        <v>18</v>
      </c>
      <c r="V10" s="14">
        <f>ROUND(18.0246693762387,1)</f>
        <v>18</v>
      </c>
      <c r="W10" s="14">
        <f>ROUND(18.0366151529739,1)</f>
        <v>18</v>
      </c>
      <c r="X10" s="14">
        <f>ROUND(18.0261680707412,1)</f>
        <v>18</v>
      </c>
      <c r="Y10" s="14">
        <f>ROUND(18.0189707511717,1)</f>
        <v>18</v>
      </c>
      <c r="Z10" s="14">
        <f>ROUND(18.015100479126,1)</f>
        <v>18</v>
      </c>
      <c r="AA10" s="15">
        <f>ROUND(18.015100479126,1)</f>
        <v>18</v>
      </c>
    </row>
    <row r="11" spans="1:27">
      <c r="A11" s="22" t="s">
        <v>11</v>
      </c>
      <c r="B11" s="5" t="s">
        <v>12</v>
      </c>
      <c r="C11" s="12">
        <f>ROUND(-3864.18622036471,0)</f>
        <v>-3864</v>
      </c>
      <c r="D11" s="16">
        <f>ROUND(-2055.59448449472,0)</f>
        <v>-2056</v>
      </c>
      <c r="E11" s="16">
        <f>ROUND(-5919.78070485944,0)</f>
        <v>-5920</v>
      </c>
      <c r="F11" s="16">
        <f>ROUND(-2837.21363405043,0)</f>
        <v>-2837</v>
      </c>
      <c r="G11" s="16">
        <f>ROUND(-1510.12991739309,0)</f>
        <v>-1510</v>
      </c>
      <c r="H11" s="16">
        <f>ROUND(-4347.34353601214,0)</f>
        <v>-4347</v>
      </c>
      <c r="I11" s="16">
        <f>ROUND(-4385.64351152509,0)</f>
        <v>-4386</v>
      </c>
      <c r="J11" s="16">
        <f>ROUND(-4385.62637231945,0)</f>
        <v>-4386</v>
      </c>
      <c r="K11" s="16">
        <f>ROUND(-4061.43681787988,0)</f>
        <v>-4061</v>
      </c>
      <c r="L11" s="16">
        <f>ROUND(-4351.90769909913,0)</f>
        <v>-4352</v>
      </c>
      <c r="M11" s="16">
        <f>ROUND(-10632.3982670417,0)</f>
        <v>-10632</v>
      </c>
      <c r="N11" s="16">
        <f>ROUND(-10632.3982670417,0)</f>
        <v>-10632</v>
      </c>
      <c r="O11" s="16">
        <f>ROUND(-10137.1930211981,0)</f>
        <v>-10137</v>
      </c>
      <c r="P11" s="16">
        <f>ROUND(-10659.511641164,0)</f>
        <v>-10660</v>
      </c>
      <c r="Q11" s="16">
        <f>ROUND(-10659.511641164,0)</f>
        <v>-10660</v>
      </c>
      <c r="R11" s="16">
        <f>ROUND(-11561.3572768247,0)</f>
        <v>-11561</v>
      </c>
      <c r="S11" s="16">
        <f>ROUND(-213517.19832569,0)</f>
        <v>-213517</v>
      </c>
      <c r="T11" s="16">
        <f>ROUND(-213517.19832569,0)</f>
        <v>-213517</v>
      </c>
      <c r="U11" s="16">
        <f>ROUND(-113582.718376763,0)</f>
        <v>-113583</v>
      </c>
      <c r="V11" s="16">
        <f>ROUND(-113582.718376763,0)</f>
        <v>-113583</v>
      </c>
      <c r="W11" s="16">
        <f>ROUND(0,0)</f>
        <v>0</v>
      </c>
      <c r="X11" s="16">
        <f>ROUND(-327095.843915215,0)</f>
        <v>-327096</v>
      </c>
      <c r="Y11" s="16">
        <f>ROUND(-53752.7341792945,0)</f>
        <v>-53753</v>
      </c>
      <c r="Z11" s="16">
        <f>ROUND(-54040.0612948898,0)</f>
        <v>-54040</v>
      </c>
      <c r="AA11" s="17">
        <f>ROUND(-53522.1887243512,0)</f>
        <v>-53522</v>
      </c>
    </row>
    <row r="12" spans="1:27">
      <c r="A12" s="22" t="s">
        <v>13</v>
      </c>
      <c r="B12" s="5" t="s">
        <v>54</v>
      </c>
      <c r="C12" s="12">
        <v>2.0799845230795859</v>
      </c>
      <c r="D12" s="12">
        <v>2.0799845230795859</v>
      </c>
      <c r="E12" s="12">
        <v>2.0799859096390021</v>
      </c>
      <c r="F12" s="12">
        <v>1.8615787896193032</v>
      </c>
      <c r="G12" s="12">
        <v>1.8311648432878813</v>
      </c>
      <c r="H12" s="12">
        <v>1.8495901163203541</v>
      </c>
      <c r="I12" s="12">
        <v>1.7972607991448268</v>
      </c>
      <c r="J12" s="12">
        <v>1.789703393630393</v>
      </c>
      <c r="K12" s="12">
        <v>2.2905627585758346</v>
      </c>
      <c r="L12" s="12">
        <v>2.1046258960132245</v>
      </c>
      <c r="M12" s="12">
        <v>2.0641727762120068</v>
      </c>
      <c r="N12" s="12">
        <v>2.0576947610946288</v>
      </c>
      <c r="O12" s="12">
        <v>2.4929600395741476</v>
      </c>
      <c r="P12" s="12">
        <v>2.5766259739172943</v>
      </c>
      <c r="Q12" s="12">
        <v>2.5626266785398082</v>
      </c>
      <c r="R12" s="12">
        <v>2.6798355238308398</v>
      </c>
      <c r="S12" s="12">
        <v>4.3128268005571355</v>
      </c>
      <c r="T12" s="12">
        <v>4.3149154162835188</v>
      </c>
      <c r="U12" s="12">
        <v>4.3128268005571355</v>
      </c>
      <c r="V12" s="12">
        <v>4.3149154162835188</v>
      </c>
      <c r="W12" s="12">
        <v>4.3178031444878719</v>
      </c>
      <c r="X12" s="12">
        <v>4.3143878043809822</v>
      </c>
      <c r="Y12" s="12">
        <v>4.3115345458609777</v>
      </c>
      <c r="Z12" s="12">
        <v>4.3148778052221513</v>
      </c>
      <c r="AA12" s="13">
        <v>4.3170382187821161</v>
      </c>
    </row>
    <row r="13" spans="1:27">
      <c r="A13" s="22" t="s">
        <v>14</v>
      </c>
      <c r="B13" s="5" t="s">
        <v>55</v>
      </c>
      <c r="C13" s="12">
        <v>19.566703280888209</v>
      </c>
      <c r="D13" s="12">
        <v>19.566703280888209</v>
      </c>
      <c r="E13" s="12">
        <v>19.566644237787312</v>
      </c>
      <c r="F13" s="12">
        <v>6.1438402657800699</v>
      </c>
      <c r="G13" s="12">
        <v>7.3414454530923345</v>
      </c>
      <c r="H13" s="12">
        <v>6.5417357020341598</v>
      </c>
      <c r="I13" s="12">
        <v>6.0564689034489305</v>
      </c>
      <c r="J13" s="12">
        <v>5.2801734097353137</v>
      </c>
      <c r="K13" s="12">
        <v>24.014992788067467</v>
      </c>
      <c r="L13" s="12">
        <v>31.852803555040516</v>
      </c>
      <c r="M13" s="12">
        <v>24.184314269570351</v>
      </c>
      <c r="N13" s="12">
        <v>23.540263252051666</v>
      </c>
      <c r="O13" s="12">
        <v>56.125565454419679</v>
      </c>
      <c r="P13" s="12">
        <v>74.570219406433466</v>
      </c>
      <c r="Q13" s="12">
        <v>73.13996194600233</v>
      </c>
      <c r="R13" s="12">
        <v>102.69916069071883</v>
      </c>
      <c r="S13" s="12">
        <v>992.58888237879376</v>
      </c>
      <c r="T13" s="12">
        <v>991.88587482032528</v>
      </c>
      <c r="U13" s="12">
        <v>992.58888237879376</v>
      </c>
      <c r="V13" s="12">
        <v>991.88587482032528</v>
      </c>
      <c r="W13" s="12">
        <v>832.16236106692111</v>
      </c>
      <c r="X13" s="12">
        <v>992.16555629840673</v>
      </c>
      <c r="Y13" s="12">
        <v>1007.4790283435595</v>
      </c>
      <c r="Z13" s="12">
        <v>1014.9005126773253</v>
      </c>
      <c r="AA13" s="13">
        <v>992.37405056451723</v>
      </c>
    </row>
    <row r="14" spans="1:27" ht="15.75" thickBot="1">
      <c r="A14" s="74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7"/>
      <c r="O14" s="77"/>
      <c r="P14" s="77"/>
      <c r="Q14" s="77"/>
      <c r="R14" s="76"/>
      <c r="S14" s="76"/>
      <c r="T14" s="76"/>
      <c r="U14" s="76"/>
      <c r="V14" s="76"/>
      <c r="W14" s="76"/>
      <c r="X14" s="76"/>
      <c r="Y14" s="76"/>
      <c r="Z14" s="76"/>
      <c r="AA14" s="78"/>
    </row>
    <row r="15" spans="1:27" ht="16.5" thickBot="1">
      <c r="A15" s="113" t="s">
        <v>15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5"/>
    </row>
    <row r="16" spans="1:27">
      <c r="A16" s="29" t="s">
        <v>16</v>
      </c>
      <c r="B16" s="79" t="s">
        <v>17</v>
      </c>
      <c r="C16" s="80">
        <f>ROUND(3.81767952930047,2)</f>
        <v>3.82</v>
      </c>
      <c r="D16" s="80">
        <f>ROUND(2.03085476125366,2)</f>
        <v>2.0299999999999998</v>
      </c>
      <c r="E16" s="80">
        <f>ROUND(5.84853429055413,2)</f>
        <v>5.85</v>
      </c>
      <c r="F16" s="80">
        <f>ROUND(2.47259399485876,2)</f>
        <v>2.4700000000000002</v>
      </c>
      <c r="G16" s="80">
        <f>ROUND(1.25603816484837,2)</f>
        <v>1.26</v>
      </c>
      <c r="H16" s="80">
        <f>ROUND(3.72863215717237,2)</f>
        <v>3.73</v>
      </c>
      <c r="I16" s="80">
        <f>ROUND(3.72862903443981,2)</f>
        <v>3.73</v>
      </c>
      <c r="J16" s="80">
        <f>ROUND(3.72862928000557,2)</f>
        <v>3.73</v>
      </c>
      <c r="K16" s="80">
        <f>ROUND(3.72862928000557,2)</f>
        <v>3.73</v>
      </c>
      <c r="L16" s="80">
        <f>ROUND(3.72862928000557,2)</f>
        <v>3.73</v>
      </c>
      <c r="M16" s="80">
        <f>ROUND(9.88669881674694,2)</f>
        <v>9.89</v>
      </c>
      <c r="N16" s="80">
        <f>ROUND(9.88669881674694,2)</f>
        <v>9.89</v>
      </c>
      <c r="O16" s="80">
        <f>ROUND(9.88669881674694,2)</f>
        <v>9.89</v>
      </c>
      <c r="P16" s="80">
        <f>ROUND(9.88669881674694,2)</f>
        <v>9.89</v>
      </c>
      <c r="Q16" s="80">
        <f>ROUND(9.88669881674694,2)</f>
        <v>9.89</v>
      </c>
      <c r="R16" s="80">
        <f>ROUND(6.16842232622797,2)</f>
        <v>6.17</v>
      </c>
      <c r="S16" s="81" t="s">
        <v>19</v>
      </c>
      <c r="T16" s="81" t="s">
        <v>19</v>
      </c>
      <c r="U16" s="81" t="s">
        <v>19</v>
      </c>
      <c r="V16" s="81" t="s">
        <v>19</v>
      </c>
      <c r="W16" s="81" t="s">
        <v>19</v>
      </c>
      <c r="X16" s="81" t="s">
        <v>19</v>
      </c>
      <c r="Y16" s="81" t="s">
        <v>19</v>
      </c>
      <c r="Z16" s="81" t="s">
        <v>19</v>
      </c>
      <c r="AA16" s="102" t="s">
        <v>19</v>
      </c>
    </row>
    <row r="17" spans="1:27" s="72" customFormat="1">
      <c r="A17" s="70" t="s">
        <v>18</v>
      </c>
      <c r="B17" s="71" t="s">
        <v>9</v>
      </c>
      <c r="C17" s="60">
        <f>ROUND(161.462067832807,0)</f>
        <v>161</v>
      </c>
      <c r="D17" s="60">
        <f>ROUND(85.8914444503417,0)</f>
        <v>86</v>
      </c>
      <c r="E17" s="60">
        <f>ROUND(247.353512283149,0)</f>
        <v>247</v>
      </c>
      <c r="F17" s="60">
        <f>ROUND(104.574031491331,0)</f>
        <v>105</v>
      </c>
      <c r="G17" s="60">
        <f>ROUND(53.1219338388267,0)</f>
        <v>53</v>
      </c>
      <c r="H17" s="60">
        <f>ROUND(157.695965222955,0)</f>
        <v>158</v>
      </c>
      <c r="I17" s="60">
        <f>ROUND(157.695833152451,0)</f>
        <v>158</v>
      </c>
      <c r="J17" s="60">
        <f>ROUND(157.695843538225,0)</f>
        <v>158</v>
      </c>
      <c r="K17" s="60">
        <f>ROUND(157.695843538225,0)</f>
        <v>158</v>
      </c>
      <c r="L17" s="60">
        <f>ROUND(157.695843538225,0)</f>
        <v>158</v>
      </c>
      <c r="M17" s="60">
        <f>ROUND(418.140606811131,0)</f>
        <v>418</v>
      </c>
      <c r="N17" s="60">
        <f>ROUND(418.140606811131,0)</f>
        <v>418</v>
      </c>
      <c r="O17" s="60">
        <f>ROUND(418.140606811131,0)</f>
        <v>418</v>
      </c>
      <c r="P17" s="60">
        <f>ROUND(418.140606811131,0)</f>
        <v>418</v>
      </c>
      <c r="Q17" s="60">
        <f>ROUND(418.140606811131,0)</f>
        <v>418</v>
      </c>
      <c r="R17" s="60">
        <f>ROUND(260.882616368095,0)</f>
        <v>261</v>
      </c>
      <c r="S17" s="60" t="s">
        <v>19</v>
      </c>
      <c r="T17" s="60" t="s">
        <v>19</v>
      </c>
      <c r="U17" s="60" t="s">
        <v>19</v>
      </c>
      <c r="V17" s="60" t="s">
        <v>19</v>
      </c>
      <c r="W17" s="60" t="s">
        <v>19</v>
      </c>
      <c r="X17" s="60" t="s">
        <v>19</v>
      </c>
      <c r="Y17" s="60" t="s">
        <v>19</v>
      </c>
      <c r="Z17" s="60" t="s">
        <v>19</v>
      </c>
      <c r="AA17" s="61" t="s">
        <v>19</v>
      </c>
    </row>
    <row r="18" spans="1:27" ht="15.75">
      <c r="A18" s="22" t="s">
        <v>20</v>
      </c>
      <c r="B18" s="49" t="s">
        <v>56</v>
      </c>
      <c r="C18" s="57">
        <f>ROUND(199.216733341494,0)</f>
        <v>199</v>
      </c>
      <c r="D18" s="57">
        <f>ROUND(105.975435686218,0)</f>
        <v>106</v>
      </c>
      <c r="E18" s="58">
        <f>ROUND(305.193089956811,0)</f>
        <v>305</v>
      </c>
      <c r="F18" s="58">
        <f>ROUND(611.171416609739,0)</f>
        <v>611</v>
      </c>
      <c r="G18" s="57">
        <f>ROUND(306.808440503399,0)</f>
        <v>307</v>
      </c>
      <c r="H18" s="57">
        <f>ROUND(918.312396370733,0)</f>
        <v>918</v>
      </c>
      <c r="I18" s="57">
        <f>ROUND(991.890962856522,0)</f>
        <v>992</v>
      </c>
      <c r="J18" s="57">
        <f>ROUND(1137.7141297707,0)</f>
        <v>1138</v>
      </c>
      <c r="K18" s="57">
        <f>ROUND(250.149061001606,0)</f>
        <v>250</v>
      </c>
      <c r="L18" s="57">
        <f>ROUND(188.596519785612,0)</f>
        <v>189</v>
      </c>
      <c r="M18" s="57">
        <f>ROUND(515.992819635694,0)</f>
        <v>516</v>
      </c>
      <c r="N18" s="57">
        <f>ROUND(530.110151160852,0)</f>
        <v>530</v>
      </c>
      <c r="O18" s="57">
        <f>ROUND(222.339541880352,0)</f>
        <v>222</v>
      </c>
      <c r="P18" s="57">
        <f>ROUND(167.344720321887,0)</f>
        <v>167</v>
      </c>
      <c r="Q18" s="57">
        <f>ROUND(170.61715892229,0)</f>
        <v>171</v>
      </c>
      <c r="R18" s="57">
        <f>ROUND(108.642938415515,0)</f>
        <v>109</v>
      </c>
      <c r="S18" s="57" t="s">
        <v>19</v>
      </c>
      <c r="T18" s="57" t="s">
        <v>19</v>
      </c>
      <c r="U18" s="57" t="s">
        <v>19</v>
      </c>
      <c r="V18" s="57" t="s">
        <v>19</v>
      </c>
      <c r="W18" s="57" t="s">
        <v>19</v>
      </c>
      <c r="X18" s="57" t="s">
        <v>19</v>
      </c>
      <c r="Y18" s="57" t="s">
        <v>19</v>
      </c>
      <c r="Z18" s="57" t="s">
        <v>19</v>
      </c>
      <c r="AA18" s="59" t="s">
        <v>19</v>
      </c>
    </row>
    <row r="19" spans="1:27">
      <c r="A19" s="22" t="s">
        <v>21</v>
      </c>
      <c r="B19" s="49" t="s">
        <v>7</v>
      </c>
      <c r="C19" s="57">
        <f>ROUND(3898.01470988085,0)</f>
        <v>3898</v>
      </c>
      <c r="D19" s="57">
        <f>ROUND(2073.58990513509,0)</f>
        <v>2074</v>
      </c>
      <c r="E19" s="58">
        <f>ROUND(5971.60461501593,0)</f>
        <v>5972</v>
      </c>
      <c r="F19" s="58">
        <f>ROUND(3754.93955866076,0)</f>
        <v>3755</v>
      </c>
      <c r="G19" s="57">
        <f>ROUND(2252.4174305002,0)</f>
        <v>2252</v>
      </c>
      <c r="H19" s="57">
        <f>ROUND(6007.35696259082,0)</f>
        <v>6007</v>
      </c>
      <c r="I19" s="57">
        <f>ROUND(6007.32673228744,0)</f>
        <v>6007</v>
      </c>
      <c r="J19" s="57">
        <f>ROUND(6007.32789589543,0)</f>
        <v>6007</v>
      </c>
      <c r="K19" s="57">
        <f>ROUND(6007.32789589543,0)</f>
        <v>6007</v>
      </c>
      <c r="L19" s="57">
        <f>ROUND(6007.32789589543,0)</f>
        <v>6007</v>
      </c>
      <c r="M19" s="57">
        <f>ROUND(12478.9325109114,0)</f>
        <v>12479</v>
      </c>
      <c r="N19" s="57">
        <f>ROUND(12478.9325109114,0)</f>
        <v>12479</v>
      </c>
      <c r="O19" s="57">
        <f>ROUND(12478.9325109114,0)</f>
        <v>12479</v>
      </c>
      <c r="P19" s="57">
        <f>ROUND(12478.9325109114,0)</f>
        <v>12479</v>
      </c>
      <c r="Q19" s="57">
        <f>ROUND(12478.9325109114,0)</f>
        <v>12479</v>
      </c>
      <c r="R19" s="57">
        <f>ROUND(6333.39578950374,0)</f>
        <v>6333</v>
      </c>
      <c r="S19" s="57" t="s">
        <v>19</v>
      </c>
      <c r="T19" s="57" t="s">
        <v>19</v>
      </c>
      <c r="U19" s="57" t="s">
        <v>19</v>
      </c>
      <c r="V19" s="57" t="s">
        <v>19</v>
      </c>
      <c r="W19" s="57" t="s">
        <v>19</v>
      </c>
      <c r="X19" s="57" t="s">
        <v>19</v>
      </c>
      <c r="Y19" s="57" t="s">
        <v>19</v>
      </c>
      <c r="Z19" s="57" t="s">
        <v>19</v>
      </c>
      <c r="AA19" s="59" t="s">
        <v>19</v>
      </c>
    </row>
    <row r="20" spans="1:27">
      <c r="A20" s="22" t="s">
        <v>22</v>
      </c>
      <c r="B20" s="49"/>
      <c r="C20" s="60">
        <v>24.141984319916009</v>
      </c>
      <c r="D20" s="60">
        <v>24.141984319916009</v>
      </c>
      <c r="E20" s="58">
        <v>24.141984319916009</v>
      </c>
      <c r="F20" s="58">
        <v>35.906998182163726</v>
      </c>
      <c r="G20" s="60">
        <v>42.400892959471172</v>
      </c>
      <c r="H20" s="60">
        <v>38.094550828218502</v>
      </c>
      <c r="I20" s="60">
        <v>38.094391032386447</v>
      </c>
      <c r="J20" s="60">
        <v>38.094395902319839</v>
      </c>
      <c r="K20" s="60">
        <v>38.094395902319839</v>
      </c>
      <c r="L20" s="60">
        <v>38.094395902319846</v>
      </c>
      <c r="M20" s="60">
        <v>29.8438666506933</v>
      </c>
      <c r="N20" s="60">
        <v>29.8438666506933</v>
      </c>
      <c r="O20" s="60">
        <v>29.8438666506933</v>
      </c>
      <c r="P20" s="60">
        <v>29.8438666506933</v>
      </c>
      <c r="Q20" s="60">
        <v>29.8438666506933</v>
      </c>
      <c r="R20" s="60">
        <v>24.276802638959932</v>
      </c>
      <c r="S20" s="60" t="s">
        <v>19</v>
      </c>
      <c r="T20" s="60" t="s">
        <v>19</v>
      </c>
      <c r="U20" s="60" t="s">
        <v>19</v>
      </c>
      <c r="V20" s="60" t="s">
        <v>19</v>
      </c>
      <c r="W20" s="60" t="s">
        <v>19</v>
      </c>
      <c r="X20" s="60" t="s">
        <v>19</v>
      </c>
      <c r="Y20" s="60" t="s">
        <v>19</v>
      </c>
      <c r="Z20" s="60" t="s">
        <v>19</v>
      </c>
      <c r="AA20" s="61" t="s">
        <v>19</v>
      </c>
    </row>
    <row r="21" spans="1:27" ht="15.75">
      <c r="A21" s="22" t="s">
        <v>23</v>
      </c>
      <c r="B21" s="49" t="s">
        <v>54</v>
      </c>
      <c r="C21" s="55">
        <v>2.0799845230795859</v>
      </c>
      <c r="D21" s="55">
        <v>2.0799845230795859</v>
      </c>
      <c r="E21" s="58">
        <v>2.0799859096390021</v>
      </c>
      <c r="F21" s="58">
        <v>1.8615787896193032</v>
      </c>
      <c r="G21" s="55">
        <v>1.8311648432876251</v>
      </c>
      <c r="H21" s="55">
        <v>1.8495901157728609</v>
      </c>
      <c r="I21" s="55">
        <v>1.7972601293659725</v>
      </c>
      <c r="J21" s="55">
        <v>1.789703393630393</v>
      </c>
      <c r="K21" s="55">
        <v>2.2905627585758346</v>
      </c>
      <c r="L21" s="55">
        <v>2.104625896013224</v>
      </c>
      <c r="M21" s="55">
        <v>2.0641727762120068</v>
      </c>
      <c r="N21" s="55">
        <v>2.0576947610946288</v>
      </c>
      <c r="O21" s="55">
        <v>2.4929600395741476</v>
      </c>
      <c r="P21" s="55">
        <v>2.5766259739172943</v>
      </c>
      <c r="Q21" s="55">
        <v>2.5626266785398082</v>
      </c>
      <c r="R21" s="55">
        <v>2.4800696512396039</v>
      </c>
      <c r="S21" s="55" t="s">
        <v>19</v>
      </c>
      <c r="T21" s="55" t="s">
        <v>19</v>
      </c>
      <c r="U21" s="55" t="s">
        <v>19</v>
      </c>
      <c r="V21" s="55" t="s">
        <v>19</v>
      </c>
      <c r="W21" s="55" t="s">
        <v>19</v>
      </c>
      <c r="X21" s="55" t="s">
        <v>19</v>
      </c>
      <c r="Y21" s="55" t="s">
        <v>19</v>
      </c>
      <c r="Z21" s="55" t="s">
        <v>19</v>
      </c>
      <c r="AA21" s="56" t="s">
        <v>19</v>
      </c>
    </row>
    <row r="22" spans="1:27">
      <c r="A22" s="22" t="s">
        <v>24</v>
      </c>
      <c r="B22" s="49"/>
      <c r="C22" s="55">
        <v>0.92411000238219887</v>
      </c>
      <c r="D22" s="55">
        <v>0.92411000238219887</v>
      </c>
      <c r="E22" s="60">
        <v>0.92411279096532228</v>
      </c>
      <c r="F22" s="60">
        <v>0.96368936563876506</v>
      </c>
      <c r="G22" s="55">
        <v>0.94871080807164854</v>
      </c>
      <c r="H22" s="55">
        <v>0.95895440835705126</v>
      </c>
      <c r="I22" s="55">
        <v>0.95895856216029884</v>
      </c>
      <c r="J22" s="55">
        <v>0.96401172451576822</v>
      </c>
      <c r="K22" s="55">
        <v>0.91588651680994604</v>
      </c>
      <c r="L22" s="55">
        <v>0.83062022980071681</v>
      </c>
      <c r="M22" s="55">
        <v>0.89142893947220969</v>
      </c>
      <c r="N22" s="55">
        <v>0.893809455894087</v>
      </c>
      <c r="O22" s="55">
        <v>0.86849921412483899</v>
      </c>
      <c r="P22" s="55">
        <v>0.75881392703430872</v>
      </c>
      <c r="Q22" s="55">
        <v>0.76118020654627638</v>
      </c>
      <c r="R22" s="55">
        <v>0.75710712830690541</v>
      </c>
      <c r="S22" s="55" t="s">
        <v>19</v>
      </c>
      <c r="T22" s="55" t="s">
        <v>19</v>
      </c>
      <c r="U22" s="55" t="s">
        <v>19</v>
      </c>
      <c r="V22" s="55" t="s">
        <v>19</v>
      </c>
      <c r="W22" s="55" t="s">
        <v>19</v>
      </c>
      <c r="X22" s="55" t="s">
        <v>19</v>
      </c>
      <c r="Y22" s="55" t="s">
        <v>19</v>
      </c>
      <c r="Z22" s="55" t="s">
        <v>19</v>
      </c>
      <c r="AA22" s="56" t="s">
        <v>19</v>
      </c>
    </row>
    <row r="23" spans="1:27" ht="15.75">
      <c r="A23" s="22" t="s">
        <v>25</v>
      </c>
      <c r="B23" s="49" t="s">
        <v>57</v>
      </c>
      <c r="C23" s="62">
        <v>3.1541900839798513E-2</v>
      </c>
      <c r="D23" s="62">
        <v>3.1541900839798513E-2</v>
      </c>
      <c r="E23" s="62">
        <v>3.154189544861536E-2</v>
      </c>
      <c r="F23" s="62">
        <v>2.4693236594305421E-2</v>
      </c>
      <c r="G23" s="62">
        <v>2.1694952944231894E-2</v>
      </c>
      <c r="H23" s="62">
        <v>2.3637752379714223E-2</v>
      </c>
      <c r="I23" s="62">
        <v>2.2167656824739996E-2</v>
      </c>
      <c r="J23" s="62">
        <v>2.2056075953718841E-2</v>
      </c>
      <c r="K23" s="62">
        <v>3.6119629801671216E-2</v>
      </c>
      <c r="L23" s="62">
        <v>2.6992876340950399E-2</v>
      </c>
      <c r="M23" s="62">
        <v>2.9638408617740791E-2</v>
      </c>
      <c r="N23" s="62">
        <v>2.9537770998768365E-2</v>
      </c>
      <c r="O23" s="62">
        <v>4.314970927419319E-2</v>
      </c>
      <c r="P23" s="62">
        <v>3.6787207532747633E-2</v>
      </c>
      <c r="Q23" s="62">
        <v>3.6574993374868157E-2</v>
      </c>
      <c r="R23" s="62">
        <v>3.1007159972942896E-2</v>
      </c>
      <c r="S23" s="62" t="s">
        <v>19</v>
      </c>
      <c r="T23" s="62" t="s">
        <v>19</v>
      </c>
      <c r="U23" s="62" t="s">
        <v>19</v>
      </c>
      <c r="V23" s="62" t="s">
        <v>19</v>
      </c>
      <c r="W23" s="62" t="s">
        <v>19</v>
      </c>
      <c r="X23" s="62" t="s">
        <v>19</v>
      </c>
      <c r="Y23" s="62" t="s">
        <v>19</v>
      </c>
      <c r="Z23" s="62" t="s">
        <v>19</v>
      </c>
      <c r="AA23" s="63" t="s">
        <v>19</v>
      </c>
    </row>
    <row r="24" spans="1:27">
      <c r="A24" s="22" t="s">
        <v>26</v>
      </c>
      <c r="B24" s="49" t="s">
        <v>27</v>
      </c>
      <c r="C24" s="62">
        <v>1.2080091208896467E-2</v>
      </c>
      <c r="D24" s="62">
        <v>1.2080091208896467E-2</v>
      </c>
      <c r="E24" s="62">
        <v>1.2080089362506718E-2</v>
      </c>
      <c r="F24" s="62">
        <v>1.0611792512903022E-2</v>
      </c>
      <c r="G24" s="62">
        <v>9.7516315940454415E-3</v>
      </c>
      <c r="H24" s="62">
        <v>1.0319344836400795E-2</v>
      </c>
      <c r="I24" s="62">
        <v>9.8895698930148226E-3</v>
      </c>
      <c r="J24" s="62">
        <v>9.8494577216198063E-3</v>
      </c>
      <c r="K24" s="62">
        <v>1.3912110868978861E-2</v>
      </c>
      <c r="L24" s="62">
        <v>1.1594093640358349E-2</v>
      </c>
      <c r="M24" s="62">
        <v>1.2009881624641949E-2</v>
      </c>
      <c r="N24" s="62">
        <v>1.1974740654046773E-2</v>
      </c>
      <c r="O24" s="62">
        <v>1.6069284136468957E-2</v>
      </c>
      <c r="P24" s="62">
        <v>1.4825441009798507E-2</v>
      </c>
      <c r="Q24" s="62">
        <v>1.4735229860158447E-2</v>
      </c>
      <c r="R24" s="62">
        <v>1.2323312580048901E-2</v>
      </c>
      <c r="S24" s="62" t="s">
        <v>19</v>
      </c>
      <c r="T24" s="62" t="s">
        <v>19</v>
      </c>
      <c r="U24" s="62" t="s">
        <v>19</v>
      </c>
      <c r="V24" s="62" t="s">
        <v>19</v>
      </c>
      <c r="W24" s="62" t="s">
        <v>19</v>
      </c>
      <c r="X24" s="62" t="s">
        <v>19</v>
      </c>
      <c r="Y24" s="62" t="s">
        <v>19</v>
      </c>
      <c r="Z24" s="62" t="s">
        <v>19</v>
      </c>
      <c r="AA24" s="63" t="s">
        <v>19</v>
      </c>
    </row>
    <row r="25" spans="1:27" s="73" customFormat="1" ht="15.75">
      <c r="A25" s="22" t="s">
        <v>28</v>
      </c>
      <c r="B25" s="48" t="s">
        <v>55</v>
      </c>
      <c r="C25" s="55">
        <v>19.566703280888209</v>
      </c>
      <c r="D25" s="55">
        <v>19.566703280888209</v>
      </c>
      <c r="E25" s="55">
        <v>19.566644237787312</v>
      </c>
      <c r="F25" s="55">
        <v>6.1438402657800699</v>
      </c>
      <c r="G25" s="55">
        <v>7.3414454530798627</v>
      </c>
      <c r="H25" s="55">
        <v>6.5417356733204546</v>
      </c>
      <c r="I25" s="55">
        <v>6.0564386179979772</v>
      </c>
      <c r="J25" s="55">
        <v>5.2801734097353137</v>
      </c>
      <c r="K25" s="55">
        <v>24.014992788067467</v>
      </c>
      <c r="L25" s="55">
        <v>31.852803555040524</v>
      </c>
      <c r="M25" s="55">
        <v>24.184314269570351</v>
      </c>
      <c r="N25" s="55">
        <v>23.540263252051666</v>
      </c>
      <c r="O25" s="55">
        <v>56.125565454419679</v>
      </c>
      <c r="P25" s="55">
        <v>74.570219406433466</v>
      </c>
      <c r="Q25" s="55">
        <v>73.13996194600233</v>
      </c>
      <c r="R25" s="55">
        <v>58.295512638668256</v>
      </c>
      <c r="S25" s="55" t="s">
        <v>19</v>
      </c>
      <c r="T25" s="55" t="s">
        <v>19</v>
      </c>
      <c r="U25" s="55" t="s">
        <v>19</v>
      </c>
      <c r="V25" s="55" t="s">
        <v>19</v>
      </c>
      <c r="W25" s="55" t="s">
        <v>19</v>
      </c>
      <c r="X25" s="55" t="s">
        <v>19</v>
      </c>
      <c r="Y25" s="55" t="s">
        <v>19</v>
      </c>
      <c r="Z25" s="55" t="s">
        <v>19</v>
      </c>
      <c r="AA25" s="56" t="s">
        <v>19</v>
      </c>
    </row>
    <row r="26" spans="1:27">
      <c r="A26" s="22" t="s">
        <v>29</v>
      </c>
      <c r="B26" s="49"/>
      <c r="C26" s="55">
        <v>1.1984203044928559</v>
      </c>
      <c r="D26" s="55">
        <v>1.1984203044928559</v>
      </c>
      <c r="E26" s="55">
        <v>1.1984201459767829</v>
      </c>
      <c r="F26" s="55">
        <v>1.1420475265924979</v>
      </c>
      <c r="G26" s="55">
        <v>1.1199209142000064</v>
      </c>
      <c r="H26" s="55">
        <v>1.1337832366138492</v>
      </c>
      <c r="I26" s="55">
        <v>1.1382175977664803</v>
      </c>
      <c r="J26" s="55">
        <v>1.1388822311115416</v>
      </c>
      <c r="K26" s="55">
        <v>1.1053156876467232</v>
      </c>
      <c r="L26" s="55">
        <v>1.1156964610713664</v>
      </c>
      <c r="M26" s="55">
        <v>1.1560174906218399</v>
      </c>
      <c r="N26" s="55">
        <v>1.1565855739772422</v>
      </c>
      <c r="O26" s="55">
        <v>1.1258065925603862</v>
      </c>
      <c r="P26" s="55">
        <v>1.1212262922055729</v>
      </c>
      <c r="Q26" s="55">
        <v>1.1219693090050507</v>
      </c>
      <c r="R26" s="55">
        <v>1.1602107013014711</v>
      </c>
      <c r="S26" s="55" t="s">
        <v>19</v>
      </c>
      <c r="T26" s="55" t="s">
        <v>19</v>
      </c>
      <c r="U26" s="55" t="s">
        <v>19</v>
      </c>
      <c r="V26" s="55" t="s">
        <v>19</v>
      </c>
      <c r="W26" s="55" t="s">
        <v>19</v>
      </c>
      <c r="X26" s="55" t="s">
        <v>19</v>
      </c>
      <c r="Y26" s="55" t="s">
        <v>19</v>
      </c>
      <c r="Z26" s="55" t="s">
        <v>19</v>
      </c>
      <c r="AA26" s="56" t="s">
        <v>19</v>
      </c>
    </row>
    <row r="27" spans="1:27">
      <c r="A27" s="50"/>
      <c r="B27" s="49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</row>
    <row r="28" spans="1:27" ht="15.75" thickBot="1">
      <c r="A28" s="82"/>
      <c r="B28" s="83"/>
      <c r="C28" s="77"/>
      <c r="D28" s="76"/>
      <c r="E28" s="76"/>
      <c r="F28" s="77"/>
      <c r="G28" s="77"/>
      <c r="H28" s="77"/>
      <c r="I28" s="76"/>
      <c r="J28" s="76"/>
      <c r="K28" s="76"/>
      <c r="L28" s="77"/>
      <c r="M28" s="77"/>
      <c r="N28" s="77"/>
      <c r="O28" s="77"/>
      <c r="P28" s="77"/>
      <c r="Q28" s="77"/>
      <c r="R28" s="76"/>
      <c r="S28" s="76"/>
      <c r="T28" s="77"/>
      <c r="U28" s="76"/>
      <c r="V28" s="77"/>
      <c r="W28" s="77"/>
      <c r="X28" s="76"/>
      <c r="Y28" s="77"/>
      <c r="Z28" s="77"/>
      <c r="AA28" s="78"/>
    </row>
    <row r="29" spans="1:27" ht="16.5" thickBot="1">
      <c r="A29" s="113" t="s">
        <v>30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</row>
    <row r="30" spans="1:27">
      <c r="A30" s="29" t="s">
        <v>21</v>
      </c>
      <c r="B30" s="84" t="s">
        <v>7</v>
      </c>
      <c r="C30" s="85" t="s">
        <v>19</v>
      </c>
      <c r="D30" s="85" t="s">
        <v>19</v>
      </c>
      <c r="E30" s="85" t="s">
        <v>19</v>
      </c>
      <c r="F30" s="85" t="s">
        <v>19</v>
      </c>
      <c r="G30" s="85" t="s">
        <v>19</v>
      </c>
      <c r="H30" s="85" t="s">
        <v>19</v>
      </c>
      <c r="I30" s="85" t="s">
        <v>19</v>
      </c>
      <c r="J30" s="85" t="s">
        <v>19</v>
      </c>
      <c r="K30" s="85" t="s">
        <v>19</v>
      </c>
      <c r="L30" s="85" t="s">
        <v>19</v>
      </c>
      <c r="M30" s="85" t="s">
        <v>19</v>
      </c>
      <c r="N30" s="85" t="s">
        <v>19</v>
      </c>
      <c r="O30" s="85" t="s">
        <v>19</v>
      </c>
      <c r="P30" s="85" t="s">
        <v>19</v>
      </c>
      <c r="Q30" s="85" t="s">
        <v>19</v>
      </c>
      <c r="R30" s="85">
        <f>ROUND( 6049.99672419602,0)</f>
        <v>6050</v>
      </c>
      <c r="S30" s="85" t="s">
        <v>19</v>
      </c>
      <c r="T30" s="85" t="s">
        <v>19</v>
      </c>
      <c r="U30" s="85" t="s">
        <v>19</v>
      </c>
      <c r="V30" s="85" t="s">
        <v>19</v>
      </c>
      <c r="W30" s="85" t="s">
        <v>19</v>
      </c>
      <c r="X30" s="85" t="s">
        <v>19</v>
      </c>
      <c r="Y30" s="85" t="s">
        <v>19</v>
      </c>
      <c r="Z30" s="85" t="s">
        <v>19</v>
      </c>
      <c r="AA30" s="86" t="s">
        <v>19</v>
      </c>
    </row>
    <row r="31" spans="1:27">
      <c r="A31" s="22" t="s">
        <v>31</v>
      </c>
      <c r="B31" s="66" t="s">
        <v>32</v>
      </c>
      <c r="C31" s="58" t="s">
        <v>19</v>
      </c>
      <c r="D31" s="58" t="s">
        <v>19</v>
      </c>
      <c r="E31" s="58" t="s">
        <v>19</v>
      </c>
      <c r="F31" s="58" t="s">
        <v>19</v>
      </c>
      <c r="G31" s="58" t="s">
        <v>19</v>
      </c>
      <c r="H31" s="58" t="s">
        <v>19</v>
      </c>
      <c r="I31" s="58" t="s">
        <v>19</v>
      </c>
      <c r="J31" s="58" t="s">
        <v>19</v>
      </c>
      <c r="K31" s="58" t="s">
        <v>19</v>
      </c>
      <c r="L31" s="58" t="s">
        <v>19</v>
      </c>
      <c r="M31" s="58" t="s">
        <v>19</v>
      </c>
      <c r="N31" s="58" t="s">
        <v>19</v>
      </c>
      <c r="O31" s="58" t="s">
        <v>19</v>
      </c>
      <c r="P31" s="58" t="s">
        <v>19</v>
      </c>
      <c r="Q31" s="58" t="s">
        <v>19</v>
      </c>
      <c r="R31" s="60">
        <f>ROUND( 12.5962348499707,0)</f>
        <v>13</v>
      </c>
      <c r="S31" s="58" t="s">
        <v>19</v>
      </c>
      <c r="T31" s="58" t="s">
        <v>19</v>
      </c>
      <c r="U31" s="58" t="s">
        <v>19</v>
      </c>
      <c r="V31" s="58" t="s">
        <v>19</v>
      </c>
      <c r="W31" s="58" t="s">
        <v>19</v>
      </c>
      <c r="X31" s="58" t="s">
        <v>19</v>
      </c>
      <c r="Y31" s="58" t="s">
        <v>19</v>
      </c>
      <c r="Z31" s="58" t="s">
        <v>19</v>
      </c>
      <c r="AA31" s="64" t="s">
        <v>19</v>
      </c>
    </row>
    <row r="32" spans="1:27" ht="15.75">
      <c r="A32" s="22" t="s">
        <v>33</v>
      </c>
      <c r="B32" s="49" t="s">
        <v>56</v>
      </c>
      <c r="C32" s="58" t="s">
        <v>19</v>
      </c>
      <c r="D32" s="58" t="s">
        <v>19</v>
      </c>
      <c r="E32" s="58" t="s">
        <v>19</v>
      </c>
      <c r="F32" s="58" t="s">
        <v>19</v>
      </c>
      <c r="G32" s="58" t="s">
        <v>19</v>
      </c>
      <c r="H32" s="58" t="s">
        <v>19</v>
      </c>
      <c r="I32" s="58" t="s">
        <v>19</v>
      </c>
      <c r="J32" s="58" t="s">
        <v>19</v>
      </c>
      <c r="K32" s="58" t="s">
        <v>19</v>
      </c>
      <c r="L32" s="58" t="s">
        <v>19</v>
      </c>
      <c r="M32" s="58" t="s">
        <v>19</v>
      </c>
      <c r="N32" s="58" t="s">
        <v>19</v>
      </c>
      <c r="O32" s="58" t="s">
        <v>19</v>
      </c>
      <c r="P32" s="58" t="s">
        <v>19</v>
      </c>
      <c r="Q32" s="58" t="s">
        <v>19</v>
      </c>
      <c r="R32" s="60">
        <v>12.701370522261222</v>
      </c>
      <c r="S32" s="58" t="s">
        <v>19</v>
      </c>
      <c r="T32" s="58" t="s">
        <v>19</v>
      </c>
      <c r="U32" s="58" t="s">
        <v>19</v>
      </c>
      <c r="V32" s="58" t="s">
        <v>19</v>
      </c>
      <c r="W32" s="58" t="s">
        <v>19</v>
      </c>
      <c r="X32" s="58" t="s">
        <v>19</v>
      </c>
      <c r="Y32" s="58" t="s">
        <v>19</v>
      </c>
      <c r="Z32" s="58" t="s">
        <v>19</v>
      </c>
      <c r="AA32" s="64" t="s">
        <v>19</v>
      </c>
    </row>
    <row r="33" spans="1:27">
      <c r="A33" s="22" t="s">
        <v>22</v>
      </c>
      <c r="B33" s="49"/>
      <c r="C33" s="60" t="s">
        <v>19</v>
      </c>
      <c r="D33" s="60" t="s">
        <v>19</v>
      </c>
      <c r="E33" s="60" t="s">
        <v>19</v>
      </c>
      <c r="F33" s="60" t="s">
        <v>19</v>
      </c>
      <c r="G33" s="60" t="s">
        <v>19</v>
      </c>
      <c r="H33" s="60" t="s">
        <v>19</v>
      </c>
      <c r="I33" s="60" t="s">
        <v>19</v>
      </c>
      <c r="J33" s="60" t="s">
        <v>19</v>
      </c>
      <c r="K33" s="60" t="s">
        <v>19</v>
      </c>
      <c r="L33" s="60" t="s">
        <v>19</v>
      </c>
      <c r="M33" s="60" t="s">
        <v>19</v>
      </c>
      <c r="N33" s="60" t="s">
        <v>19</v>
      </c>
      <c r="O33" s="60" t="s">
        <v>19</v>
      </c>
      <c r="P33" s="60" t="s">
        <v>19</v>
      </c>
      <c r="Q33" s="60" t="s">
        <v>19</v>
      </c>
      <c r="R33" s="60">
        <v>39.613934797546328</v>
      </c>
      <c r="S33" s="60" t="s">
        <v>19</v>
      </c>
      <c r="T33" s="60" t="s">
        <v>19</v>
      </c>
      <c r="U33" s="60" t="s">
        <v>19</v>
      </c>
      <c r="V33" s="60" t="s">
        <v>19</v>
      </c>
      <c r="W33" s="60" t="s">
        <v>19</v>
      </c>
      <c r="X33" s="60" t="s">
        <v>19</v>
      </c>
      <c r="Y33" s="60" t="s">
        <v>19</v>
      </c>
      <c r="Z33" s="60" t="s">
        <v>19</v>
      </c>
      <c r="AA33" s="61" t="s">
        <v>19</v>
      </c>
    </row>
    <row r="34" spans="1:27" ht="15.75">
      <c r="A34" s="22" t="s">
        <v>23</v>
      </c>
      <c r="B34" s="49" t="s">
        <v>54</v>
      </c>
      <c r="C34" s="55" t="s">
        <v>19</v>
      </c>
      <c r="D34" s="55" t="s">
        <v>19</v>
      </c>
      <c r="E34" s="55" t="s">
        <v>19</v>
      </c>
      <c r="F34" s="55" t="s">
        <v>19</v>
      </c>
      <c r="G34" s="55" t="s">
        <v>19</v>
      </c>
      <c r="H34" s="55" t="s">
        <v>19</v>
      </c>
      <c r="I34" s="55" t="s">
        <v>19</v>
      </c>
      <c r="J34" s="55" t="s">
        <v>19</v>
      </c>
      <c r="K34" s="55" t="s">
        <v>19</v>
      </c>
      <c r="L34" s="55" t="s">
        <v>19</v>
      </c>
      <c r="M34" s="55" t="s">
        <v>19</v>
      </c>
      <c r="N34" s="55" t="s">
        <v>19</v>
      </c>
      <c r="O34" s="55" t="s">
        <v>19</v>
      </c>
      <c r="P34" s="55" t="s">
        <v>19</v>
      </c>
      <c r="Q34" s="55" t="s">
        <v>19</v>
      </c>
      <c r="R34" s="55">
        <v>2.8656725989929037</v>
      </c>
      <c r="S34" s="55" t="s">
        <v>19</v>
      </c>
      <c r="T34" s="55" t="s">
        <v>19</v>
      </c>
      <c r="U34" s="55" t="s">
        <v>19</v>
      </c>
      <c r="V34" s="55" t="s">
        <v>19</v>
      </c>
      <c r="W34" s="55" t="s">
        <v>19</v>
      </c>
      <c r="X34" s="55" t="s">
        <v>19</v>
      </c>
      <c r="Y34" s="55" t="s">
        <v>19</v>
      </c>
      <c r="Z34" s="55" t="s">
        <v>19</v>
      </c>
      <c r="AA34" s="56" t="s">
        <v>19</v>
      </c>
    </row>
    <row r="35" spans="1:27" ht="15.75">
      <c r="A35" s="22" t="s">
        <v>25</v>
      </c>
      <c r="B35" s="49" t="s">
        <v>57</v>
      </c>
      <c r="C35" s="62" t="s">
        <v>19</v>
      </c>
      <c r="D35" s="62" t="s">
        <v>19</v>
      </c>
      <c r="E35" s="62" t="s">
        <v>19</v>
      </c>
      <c r="F35" s="62" t="s">
        <v>19</v>
      </c>
      <c r="G35" s="62" t="s">
        <v>19</v>
      </c>
      <c r="H35" s="62" t="s">
        <v>19</v>
      </c>
      <c r="I35" s="62" t="s">
        <v>19</v>
      </c>
      <c r="J35" s="62" t="s">
        <v>19</v>
      </c>
      <c r="K35" s="62" t="s">
        <v>19</v>
      </c>
      <c r="L35" s="62" t="s">
        <v>19</v>
      </c>
      <c r="M35" s="62" t="s">
        <v>19</v>
      </c>
      <c r="N35" s="62" t="s">
        <v>19</v>
      </c>
      <c r="O35" s="62" t="s">
        <v>19</v>
      </c>
      <c r="P35" s="62" t="s">
        <v>19</v>
      </c>
      <c r="Q35" s="62" t="s">
        <v>19</v>
      </c>
      <c r="R35" s="62">
        <v>8.9641472981927386E-2</v>
      </c>
      <c r="S35" s="62" t="s">
        <v>19</v>
      </c>
      <c r="T35" s="62" t="s">
        <v>19</v>
      </c>
      <c r="U35" s="62" t="s">
        <v>19</v>
      </c>
      <c r="V35" s="62" t="s">
        <v>19</v>
      </c>
      <c r="W35" s="62" t="s">
        <v>19</v>
      </c>
      <c r="X35" s="62" t="s">
        <v>19</v>
      </c>
      <c r="Y35" s="62" t="s">
        <v>19</v>
      </c>
      <c r="Z35" s="62" t="s">
        <v>19</v>
      </c>
      <c r="AA35" s="63" t="s">
        <v>19</v>
      </c>
    </row>
    <row r="36" spans="1:27">
      <c r="A36" s="22" t="s">
        <v>26</v>
      </c>
      <c r="B36" s="49" t="s">
        <v>27</v>
      </c>
      <c r="C36" s="55" t="s">
        <v>19</v>
      </c>
      <c r="D36" s="55" t="s">
        <v>19</v>
      </c>
      <c r="E36" s="55" t="s">
        <v>19</v>
      </c>
      <c r="F36" s="55" t="s">
        <v>19</v>
      </c>
      <c r="G36" s="55" t="s">
        <v>19</v>
      </c>
      <c r="H36" s="55" t="s">
        <v>19</v>
      </c>
      <c r="I36" s="55" t="s">
        <v>19</v>
      </c>
      <c r="J36" s="55" t="s">
        <v>19</v>
      </c>
      <c r="K36" s="55" t="s">
        <v>19</v>
      </c>
      <c r="L36" s="55" t="s">
        <v>19</v>
      </c>
      <c r="M36" s="55" t="s">
        <v>19</v>
      </c>
      <c r="N36" s="55" t="s">
        <v>19</v>
      </c>
      <c r="O36" s="55" t="s">
        <v>19</v>
      </c>
      <c r="P36" s="55" t="s">
        <v>19</v>
      </c>
      <c r="Q36" s="55" t="s">
        <v>19</v>
      </c>
      <c r="R36" s="55">
        <v>9.207899073250525E-2</v>
      </c>
      <c r="S36" s="55" t="s">
        <v>19</v>
      </c>
      <c r="T36" s="55" t="s">
        <v>19</v>
      </c>
      <c r="U36" s="55" t="s">
        <v>19</v>
      </c>
      <c r="V36" s="55" t="s">
        <v>19</v>
      </c>
      <c r="W36" s="55" t="s">
        <v>19</v>
      </c>
      <c r="X36" s="55" t="s">
        <v>19</v>
      </c>
      <c r="Y36" s="55" t="s">
        <v>19</v>
      </c>
      <c r="Z36" s="55" t="s">
        <v>19</v>
      </c>
      <c r="AA36" s="56" t="s">
        <v>19</v>
      </c>
    </row>
    <row r="37" spans="1:27" ht="15.75">
      <c r="A37" s="22" t="s">
        <v>28</v>
      </c>
      <c r="B37" s="49" t="s">
        <v>55</v>
      </c>
      <c r="C37" s="58" t="s">
        <v>19</v>
      </c>
      <c r="D37" s="58" t="s">
        <v>19</v>
      </c>
      <c r="E37" s="58" t="s">
        <v>19</v>
      </c>
      <c r="F37" s="58" t="s">
        <v>19</v>
      </c>
      <c r="G37" s="58" t="s">
        <v>19</v>
      </c>
      <c r="H37" s="58" t="s">
        <v>19</v>
      </c>
      <c r="I37" s="58" t="s">
        <v>19</v>
      </c>
      <c r="J37" s="58" t="s">
        <v>19</v>
      </c>
      <c r="K37" s="58" t="s">
        <v>19</v>
      </c>
      <c r="L37" s="58" t="s">
        <v>19</v>
      </c>
      <c r="M37" s="58" t="s">
        <v>19</v>
      </c>
      <c r="N37" s="58" t="s">
        <v>19</v>
      </c>
      <c r="O37" s="58" t="s">
        <v>19</v>
      </c>
      <c r="P37" s="58" t="s">
        <v>19</v>
      </c>
      <c r="Q37" s="58" t="s">
        <v>19</v>
      </c>
      <c r="R37" s="58">
        <v>476.32629200072654</v>
      </c>
      <c r="S37" s="58" t="s">
        <v>19</v>
      </c>
      <c r="T37" s="58" t="s">
        <v>19</v>
      </c>
      <c r="U37" s="58" t="s">
        <v>19</v>
      </c>
      <c r="V37" s="58" t="s">
        <v>19</v>
      </c>
      <c r="W37" s="58" t="s">
        <v>19</v>
      </c>
      <c r="X37" s="58" t="s">
        <v>19</v>
      </c>
      <c r="Y37" s="58" t="s">
        <v>19</v>
      </c>
      <c r="Z37" s="58" t="s">
        <v>19</v>
      </c>
      <c r="AA37" s="64" t="s">
        <v>19</v>
      </c>
    </row>
    <row r="38" spans="1:27">
      <c r="A38" s="22" t="s">
        <v>34</v>
      </c>
      <c r="B38" s="67" t="s">
        <v>35</v>
      </c>
      <c r="C38" s="60" t="s">
        <v>19</v>
      </c>
      <c r="D38" s="60" t="s">
        <v>19</v>
      </c>
      <c r="E38" s="60" t="s">
        <v>19</v>
      </c>
      <c r="F38" s="60" t="s">
        <v>19</v>
      </c>
      <c r="G38" s="60" t="s">
        <v>19</v>
      </c>
      <c r="H38" s="60" t="s">
        <v>19</v>
      </c>
      <c r="I38" s="60" t="s">
        <v>19</v>
      </c>
      <c r="J38" s="60" t="s">
        <v>19</v>
      </c>
      <c r="K38" s="60" t="s">
        <v>19</v>
      </c>
      <c r="L38" s="60" t="s">
        <v>19</v>
      </c>
      <c r="M38" s="60" t="s">
        <v>19</v>
      </c>
      <c r="N38" s="60" t="s">
        <v>19</v>
      </c>
      <c r="O38" s="60" t="s">
        <v>19</v>
      </c>
      <c r="P38" s="60" t="s">
        <v>19</v>
      </c>
      <c r="Q38" s="60" t="s">
        <v>19</v>
      </c>
      <c r="R38" s="60">
        <v>6.6163320844943669</v>
      </c>
      <c r="S38" s="60" t="s">
        <v>19</v>
      </c>
      <c r="T38" s="60" t="s">
        <v>19</v>
      </c>
      <c r="U38" s="60" t="s">
        <v>19</v>
      </c>
      <c r="V38" s="60" t="s">
        <v>19</v>
      </c>
      <c r="W38" s="60" t="s">
        <v>19</v>
      </c>
      <c r="X38" s="60" t="s">
        <v>19</v>
      </c>
      <c r="Y38" s="60" t="s">
        <v>19</v>
      </c>
      <c r="Z38" s="60" t="s">
        <v>19</v>
      </c>
      <c r="AA38" s="61" t="s">
        <v>19</v>
      </c>
    </row>
    <row r="39" spans="1:27">
      <c r="A39" s="51"/>
      <c r="B39" s="68"/>
      <c r="C39" s="58"/>
      <c r="D39" s="60"/>
      <c r="E39" s="60"/>
      <c r="F39" s="58"/>
      <c r="G39" s="58"/>
      <c r="H39" s="58"/>
      <c r="I39" s="58"/>
      <c r="J39" s="58"/>
      <c r="K39" s="58"/>
      <c r="L39" s="60"/>
      <c r="M39" s="60"/>
      <c r="N39" s="60"/>
      <c r="O39" s="60"/>
      <c r="P39" s="60"/>
      <c r="Q39" s="60"/>
      <c r="R39" s="60"/>
      <c r="S39" s="58"/>
      <c r="T39" s="58"/>
      <c r="U39" s="58"/>
      <c r="V39" s="58"/>
      <c r="W39" s="58"/>
      <c r="X39" s="60"/>
      <c r="Y39" s="58"/>
      <c r="Z39" s="58"/>
      <c r="AA39" s="64"/>
    </row>
    <row r="40" spans="1:27" ht="15.75" thickBot="1">
      <c r="A40" s="87"/>
      <c r="B40" s="88"/>
      <c r="C40" s="89"/>
      <c r="D40" s="89"/>
      <c r="E40" s="90"/>
      <c r="F40" s="89"/>
      <c r="G40" s="89"/>
      <c r="H40" s="89"/>
      <c r="I40" s="89"/>
      <c r="J40" s="89"/>
      <c r="K40" s="90"/>
      <c r="L40" s="90"/>
      <c r="M40" s="90"/>
      <c r="N40" s="90"/>
      <c r="O40" s="90"/>
      <c r="P40" s="89"/>
      <c r="Q40" s="89"/>
      <c r="R40" s="89"/>
      <c r="S40" s="89"/>
      <c r="T40" s="89"/>
      <c r="U40" s="90"/>
      <c r="V40" s="89"/>
      <c r="W40" s="89"/>
      <c r="X40" s="90"/>
      <c r="Y40" s="89"/>
      <c r="Z40" s="89"/>
      <c r="AA40" s="91"/>
    </row>
    <row r="41" spans="1:27" ht="16.5" thickBot="1">
      <c r="A41" s="113" t="s">
        <v>36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/>
    </row>
    <row r="42" spans="1:27">
      <c r="A42" s="29" t="s">
        <v>21</v>
      </c>
      <c r="B42" s="84" t="s">
        <v>7</v>
      </c>
      <c r="C42" s="85" t="s">
        <v>19</v>
      </c>
      <c r="D42" s="85" t="s">
        <v>19</v>
      </c>
      <c r="E42" s="80" t="s">
        <v>19</v>
      </c>
      <c r="F42" s="85" t="s">
        <v>19</v>
      </c>
      <c r="G42" s="85" t="s">
        <v>19</v>
      </c>
      <c r="H42" s="85" t="s">
        <v>19</v>
      </c>
      <c r="I42" s="85" t="s">
        <v>19</v>
      </c>
      <c r="J42" s="85" t="s">
        <v>19</v>
      </c>
      <c r="K42" s="85" t="s">
        <v>19</v>
      </c>
      <c r="L42" s="85" t="s">
        <v>19</v>
      </c>
      <c r="M42" s="85" t="s">
        <v>19</v>
      </c>
      <c r="N42" s="85" t="s">
        <v>19</v>
      </c>
      <c r="O42" s="85" t="s">
        <v>19</v>
      </c>
      <c r="P42" s="85" t="s">
        <v>19</v>
      </c>
      <c r="Q42" s="85" t="s">
        <v>19</v>
      </c>
      <c r="R42" s="85" t="s">
        <v>19</v>
      </c>
      <c r="S42" s="85">
        <f>ROUND( 48833.3356929293,0)</f>
        <v>48833</v>
      </c>
      <c r="T42" s="85">
        <f>ROUND( 48833.3356929293,0)</f>
        <v>48833</v>
      </c>
      <c r="U42" s="85">
        <f>ROUND( 25977.4063115391,0)</f>
        <v>25977</v>
      </c>
      <c r="V42" s="85">
        <f>ROUND( 25977.4063115391,0)</f>
        <v>25977</v>
      </c>
      <c r="W42" s="85">
        <f>ROUND( 0,0)</f>
        <v>0</v>
      </c>
      <c r="X42" s="85">
        <f>ROUND( 74810.7420044684,0)</f>
        <v>74811</v>
      </c>
      <c r="Y42" s="85">
        <f>ROUND( 12219.7942613728,0)</f>
        <v>12220</v>
      </c>
      <c r="Z42" s="85">
        <f>ROUND( 12247.7919406297,0)</f>
        <v>12248</v>
      </c>
      <c r="AA42" s="86">
        <f>ROUND( 12229.291812256,0)</f>
        <v>12229</v>
      </c>
    </row>
    <row r="43" spans="1:27">
      <c r="A43" s="22" t="s">
        <v>31</v>
      </c>
      <c r="B43" s="66" t="s">
        <v>32</v>
      </c>
      <c r="C43" s="58" t="s">
        <v>19</v>
      </c>
      <c r="D43" s="58" t="s">
        <v>19</v>
      </c>
      <c r="E43" s="55" t="s">
        <v>19</v>
      </c>
      <c r="F43" s="58" t="s">
        <v>19</v>
      </c>
      <c r="G43" s="58" t="s">
        <v>19</v>
      </c>
      <c r="H43" s="58" t="s">
        <v>19</v>
      </c>
      <c r="I43" s="58" t="s">
        <v>19</v>
      </c>
      <c r="J43" s="58" t="s">
        <v>19</v>
      </c>
      <c r="K43" s="58" t="s">
        <v>19</v>
      </c>
      <c r="L43" s="58" t="s">
        <v>19</v>
      </c>
      <c r="M43" s="58" t="s">
        <v>19</v>
      </c>
      <c r="N43" s="58" t="s">
        <v>19</v>
      </c>
      <c r="O43" s="58" t="s">
        <v>19</v>
      </c>
      <c r="P43" s="58" t="s">
        <v>19</v>
      </c>
      <c r="Q43" s="58" t="s">
        <v>19</v>
      </c>
      <c r="R43" s="58" t="s">
        <v>19</v>
      </c>
      <c r="S43" s="60">
        <v>48.944849804001386</v>
      </c>
      <c r="T43" s="60">
        <v>48.944849804001386</v>
      </c>
      <c r="U43" s="60">
        <v>26.03672741528278</v>
      </c>
      <c r="V43" s="60">
        <v>26.03672741528278</v>
      </c>
      <c r="W43" s="60">
        <v>0</v>
      </c>
      <c r="X43" s="60">
        <v>74.984622398069206</v>
      </c>
      <c r="Y43" s="60">
        <v>12.245846582629682</v>
      </c>
      <c r="Z43" s="60">
        <v>12.272508491086315</v>
      </c>
      <c r="AA43" s="61">
        <v>12.253971028688715</v>
      </c>
    </row>
    <row r="44" spans="1:27" ht="15.75">
      <c r="A44" s="22" t="s">
        <v>33</v>
      </c>
      <c r="B44" s="49" t="s">
        <v>56</v>
      </c>
      <c r="C44" s="58" t="s">
        <v>19</v>
      </c>
      <c r="D44" s="58" t="s">
        <v>19</v>
      </c>
      <c r="E44" s="65" t="s">
        <v>19</v>
      </c>
      <c r="F44" s="58" t="s">
        <v>19</v>
      </c>
      <c r="G44" s="55" t="s">
        <v>19</v>
      </c>
      <c r="H44" s="55" t="s">
        <v>19</v>
      </c>
      <c r="I44" s="55" t="s">
        <v>19</v>
      </c>
      <c r="J44" s="55" t="s">
        <v>19</v>
      </c>
      <c r="K44" s="55" t="s">
        <v>19</v>
      </c>
      <c r="L44" s="55" t="s">
        <v>19</v>
      </c>
      <c r="M44" s="58" t="s">
        <v>19</v>
      </c>
      <c r="N44" s="58" t="s">
        <v>19</v>
      </c>
      <c r="O44" s="55" t="s">
        <v>19</v>
      </c>
      <c r="P44" s="58" t="s">
        <v>19</v>
      </c>
      <c r="Q44" s="55" t="s">
        <v>19</v>
      </c>
      <c r="R44" s="58" t="s">
        <v>19</v>
      </c>
      <c r="S44" s="60">
        <v>49.197947468339052</v>
      </c>
      <c r="T44" s="60">
        <v>49.232816932467315</v>
      </c>
      <c r="U44" s="60">
        <v>26.171365378667968</v>
      </c>
      <c r="V44" s="60">
        <v>26.189914556697119</v>
      </c>
      <c r="W44" s="60">
        <v>0</v>
      </c>
      <c r="X44" s="60">
        <v>75.401470580750598</v>
      </c>
      <c r="Y44" s="60">
        <v>12.129080524349853</v>
      </c>
      <c r="Z44" s="60">
        <v>12.067972956600308</v>
      </c>
      <c r="AA44" s="61">
        <v>12.323268434215205</v>
      </c>
    </row>
    <row r="45" spans="1:27">
      <c r="A45" s="22" t="s">
        <v>22</v>
      </c>
      <c r="B45" s="49"/>
      <c r="C45" s="60" t="s">
        <v>19</v>
      </c>
      <c r="D45" s="60" t="s">
        <v>19</v>
      </c>
      <c r="E45" s="60" t="s">
        <v>19</v>
      </c>
      <c r="F45" s="60" t="s">
        <v>19</v>
      </c>
      <c r="G45" s="60" t="s">
        <v>19</v>
      </c>
      <c r="H45" s="60" t="s">
        <v>19</v>
      </c>
      <c r="I45" s="60" t="s">
        <v>19</v>
      </c>
      <c r="J45" s="60" t="s">
        <v>19</v>
      </c>
      <c r="K45" s="60" t="s">
        <v>19</v>
      </c>
      <c r="L45" s="55" t="s">
        <v>19</v>
      </c>
      <c r="M45" s="55" t="s">
        <v>19</v>
      </c>
      <c r="N45" s="60" t="s">
        <v>19</v>
      </c>
      <c r="O45" s="55" t="s">
        <v>19</v>
      </c>
      <c r="P45" s="55" t="s">
        <v>19</v>
      </c>
      <c r="Q45" s="60" t="s">
        <v>19</v>
      </c>
      <c r="R45" s="60" t="s">
        <v>19</v>
      </c>
      <c r="S45" s="60">
        <v>18.024669376238688</v>
      </c>
      <c r="T45" s="60">
        <v>18.024669376238688</v>
      </c>
      <c r="U45" s="60">
        <v>18.024669376238688</v>
      </c>
      <c r="V45" s="60">
        <v>18.024669376238688</v>
      </c>
      <c r="W45" s="60">
        <v>18.03661515297394</v>
      </c>
      <c r="X45" s="60">
        <v>18.026168070741182</v>
      </c>
      <c r="Y45" s="60">
        <v>18.018970751171661</v>
      </c>
      <c r="Z45" s="60">
        <v>18.015100479125977</v>
      </c>
      <c r="AA45" s="61">
        <v>18.015100479125977</v>
      </c>
    </row>
    <row r="46" spans="1:27" ht="15.75">
      <c r="A46" s="22" t="s">
        <v>23</v>
      </c>
      <c r="B46" s="49" t="s">
        <v>54</v>
      </c>
      <c r="C46" s="55" t="s">
        <v>19</v>
      </c>
      <c r="D46" s="55" t="s">
        <v>19</v>
      </c>
      <c r="E46" s="55" t="s">
        <v>19</v>
      </c>
      <c r="F46" s="55" t="s">
        <v>19</v>
      </c>
      <c r="G46" s="55" t="s">
        <v>19</v>
      </c>
      <c r="H46" s="55" t="s">
        <v>19</v>
      </c>
      <c r="I46" s="55" t="s">
        <v>19</v>
      </c>
      <c r="J46" s="55" t="s">
        <v>19</v>
      </c>
      <c r="K46" s="55" t="s">
        <v>19</v>
      </c>
      <c r="L46" s="55" t="s">
        <v>19</v>
      </c>
      <c r="M46" s="55" t="s">
        <v>19</v>
      </c>
      <c r="N46" s="55" t="s">
        <v>19</v>
      </c>
      <c r="O46" s="55" t="s">
        <v>19</v>
      </c>
      <c r="P46" s="55" t="s">
        <v>19</v>
      </c>
      <c r="Q46" s="55" t="s">
        <v>19</v>
      </c>
      <c r="R46" s="55" t="s">
        <v>19</v>
      </c>
      <c r="S46" s="55">
        <v>4.3128268005571355</v>
      </c>
      <c r="T46" s="55">
        <v>4.3149154162835188</v>
      </c>
      <c r="U46" s="55">
        <v>4.3128268005571355</v>
      </c>
      <c r="V46" s="55">
        <v>4.3149154162835188</v>
      </c>
      <c r="W46" s="55">
        <v>4.3178031444878719</v>
      </c>
      <c r="X46" s="55">
        <v>4.3143878043809822</v>
      </c>
      <c r="Y46" s="55">
        <v>4.3115345458609777</v>
      </c>
      <c r="Z46" s="55">
        <v>4.3148778052221513</v>
      </c>
      <c r="AA46" s="56">
        <v>4.3170382187821161</v>
      </c>
    </row>
    <row r="47" spans="1:27" ht="15.75">
      <c r="A47" s="22" t="s">
        <v>25</v>
      </c>
      <c r="B47" s="49" t="s">
        <v>57</v>
      </c>
      <c r="C47" s="62" t="s">
        <v>19</v>
      </c>
      <c r="D47" s="62" t="s">
        <v>19</v>
      </c>
      <c r="E47" s="62" t="s">
        <v>19</v>
      </c>
      <c r="F47" s="62" t="s">
        <v>19</v>
      </c>
      <c r="G47" s="62" t="s">
        <v>19</v>
      </c>
      <c r="H47" s="62" t="s">
        <v>19</v>
      </c>
      <c r="I47" s="62" t="s">
        <v>19</v>
      </c>
      <c r="J47" s="62" t="s">
        <v>19</v>
      </c>
      <c r="K47" s="62" t="s">
        <v>19</v>
      </c>
      <c r="L47" s="62" t="s">
        <v>19</v>
      </c>
      <c r="M47" s="62" t="s">
        <v>19</v>
      </c>
      <c r="N47" s="62" t="s">
        <v>19</v>
      </c>
      <c r="O47" s="62" t="s">
        <v>19</v>
      </c>
      <c r="P47" s="62" t="s">
        <v>19</v>
      </c>
      <c r="Q47" s="62" t="s">
        <v>19</v>
      </c>
      <c r="R47" s="62" t="s">
        <v>19</v>
      </c>
      <c r="S47" s="62">
        <v>0.63768668400336892</v>
      </c>
      <c r="T47" s="62">
        <v>0.63804364155119497</v>
      </c>
      <c r="U47" s="62">
        <v>0.63768668400336892</v>
      </c>
      <c r="V47" s="62">
        <v>0.63804364155119497</v>
      </c>
      <c r="W47" s="62">
        <v>0.64715406869333292</v>
      </c>
      <c r="X47" s="62">
        <v>0.63756040607395603</v>
      </c>
      <c r="Y47" s="62">
        <v>0.61104303139086869</v>
      </c>
      <c r="Z47" s="62">
        <v>0.59569592424720319</v>
      </c>
      <c r="AA47" s="63">
        <v>0.637560793151706</v>
      </c>
    </row>
    <row r="48" spans="1:27">
      <c r="A48" s="22" t="s">
        <v>26</v>
      </c>
      <c r="B48" s="49" t="s">
        <v>27</v>
      </c>
      <c r="C48" s="55" t="s">
        <v>19</v>
      </c>
      <c r="D48" s="55" t="s">
        <v>19</v>
      </c>
      <c r="E48" s="55" t="s">
        <v>19</v>
      </c>
      <c r="F48" s="55" t="s">
        <v>19</v>
      </c>
      <c r="G48" s="55" t="s">
        <v>19</v>
      </c>
      <c r="H48" s="55" t="s">
        <v>19</v>
      </c>
      <c r="I48" s="55" t="s">
        <v>19</v>
      </c>
      <c r="J48" s="55" t="s">
        <v>19</v>
      </c>
      <c r="K48" s="55" t="s">
        <v>19</v>
      </c>
      <c r="L48" s="55" t="s">
        <v>19</v>
      </c>
      <c r="M48" s="55" t="s">
        <v>19</v>
      </c>
      <c r="N48" s="55" t="s">
        <v>19</v>
      </c>
      <c r="O48" s="55" t="s">
        <v>19</v>
      </c>
      <c r="P48" s="55" t="s">
        <v>19</v>
      </c>
      <c r="Q48" s="55" t="s">
        <v>19</v>
      </c>
      <c r="R48" s="55" t="s">
        <v>19</v>
      </c>
      <c r="S48" s="55">
        <v>0.59274549535323962</v>
      </c>
      <c r="T48" s="55">
        <v>0.58949920810336875</v>
      </c>
      <c r="U48" s="55">
        <v>0.59274549535323962</v>
      </c>
      <c r="V48" s="55">
        <v>0.58949920810336875</v>
      </c>
      <c r="W48" s="55">
        <v>0.48140059281524272</v>
      </c>
      <c r="X48" s="55">
        <v>0.59388172939882489</v>
      </c>
      <c r="Y48" s="55">
        <v>0.89005367671285429</v>
      </c>
      <c r="Z48" s="55">
        <v>1.12966334423911</v>
      </c>
      <c r="AA48" s="56">
        <v>0.59388176633125411</v>
      </c>
    </row>
    <row r="49" spans="1:27" ht="15.75">
      <c r="A49" s="22" t="s">
        <v>28</v>
      </c>
      <c r="B49" s="49" t="s">
        <v>55</v>
      </c>
      <c r="C49" s="58" t="s">
        <v>19</v>
      </c>
      <c r="D49" s="58" t="s">
        <v>19</v>
      </c>
      <c r="E49" s="58" t="s">
        <v>19</v>
      </c>
      <c r="F49" s="58" t="s">
        <v>19</v>
      </c>
      <c r="G49" s="58" t="s">
        <v>19</v>
      </c>
      <c r="H49" s="58" t="s">
        <v>19</v>
      </c>
      <c r="I49" s="58" t="s">
        <v>19</v>
      </c>
      <c r="J49" s="58" t="s">
        <v>19</v>
      </c>
      <c r="K49" s="58" t="s">
        <v>19</v>
      </c>
      <c r="L49" s="58" t="s">
        <v>19</v>
      </c>
      <c r="M49" s="58" t="s">
        <v>19</v>
      </c>
      <c r="N49" s="58" t="s">
        <v>19</v>
      </c>
      <c r="O49" s="58" t="s">
        <v>19</v>
      </c>
      <c r="P49" s="58" t="s">
        <v>19</v>
      </c>
      <c r="Q49" s="58" t="s">
        <v>19</v>
      </c>
      <c r="R49" s="58" t="s">
        <v>19</v>
      </c>
      <c r="S49" s="60">
        <v>992.58888237879376</v>
      </c>
      <c r="T49" s="60">
        <v>991.88587482032528</v>
      </c>
      <c r="U49" s="60">
        <v>992.58888237879376</v>
      </c>
      <c r="V49" s="60">
        <v>991.88587482032528</v>
      </c>
      <c r="W49" s="60">
        <v>832.16236106692111</v>
      </c>
      <c r="X49" s="60">
        <v>992.16555629840673</v>
      </c>
      <c r="Y49" s="60">
        <v>1007.4790283435595</v>
      </c>
      <c r="Z49" s="60">
        <v>1014.9005126773253</v>
      </c>
      <c r="AA49" s="61">
        <v>992.37405056451723</v>
      </c>
    </row>
    <row r="50" spans="1:27">
      <c r="A50" s="50"/>
      <c r="B50" s="67"/>
      <c r="C50" s="60"/>
      <c r="D50" s="60"/>
      <c r="E50" s="52"/>
      <c r="F50" s="60"/>
      <c r="G50" s="52"/>
      <c r="H50" s="52"/>
      <c r="I50" s="52"/>
      <c r="J50" s="52"/>
      <c r="K50" s="53"/>
      <c r="L50" s="53"/>
      <c r="M50" s="52"/>
      <c r="N50" s="60"/>
      <c r="O50" s="53"/>
      <c r="P50" s="53"/>
      <c r="Q50" s="53"/>
      <c r="R50" s="60"/>
      <c r="S50" s="52"/>
      <c r="T50" s="52"/>
      <c r="U50" s="53"/>
      <c r="V50" s="52"/>
      <c r="W50" s="52"/>
      <c r="X50" s="53"/>
      <c r="Y50" s="52"/>
      <c r="Z50" s="52"/>
      <c r="AA50" s="54"/>
    </row>
    <row r="51" spans="1:27" ht="15.75" thickBot="1">
      <c r="A51" s="87"/>
      <c r="B51" s="88"/>
      <c r="C51" s="92"/>
      <c r="D51" s="93"/>
      <c r="E51" s="92"/>
      <c r="F51" s="92"/>
      <c r="G51" s="92"/>
      <c r="H51" s="92"/>
      <c r="I51" s="92"/>
      <c r="J51" s="92"/>
      <c r="K51" s="93"/>
      <c r="L51" s="93"/>
      <c r="M51" s="92"/>
      <c r="N51" s="92"/>
      <c r="O51" s="93"/>
      <c r="P51" s="93"/>
      <c r="Q51" s="93"/>
      <c r="R51" s="93"/>
      <c r="S51" s="92"/>
      <c r="T51" s="92"/>
      <c r="U51" s="93"/>
      <c r="V51" s="92"/>
      <c r="W51" s="92"/>
      <c r="X51" s="93"/>
      <c r="Y51" s="92"/>
      <c r="Z51" s="92"/>
      <c r="AA51" s="94"/>
    </row>
    <row r="52" spans="1:27" ht="16.5" thickBot="1">
      <c r="A52" s="116" t="s">
        <v>37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8"/>
    </row>
    <row r="53" spans="1:27">
      <c r="A53" s="29" t="s">
        <v>38</v>
      </c>
      <c r="B53" s="95"/>
      <c r="C53" s="40">
        <v>0.52201661954760759</v>
      </c>
      <c r="D53" s="40">
        <v>0.52201661954760759</v>
      </c>
      <c r="E53" s="40">
        <v>0.52201661954760759</v>
      </c>
      <c r="F53" s="40">
        <v>0.62406972842679564</v>
      </c>
      <c r="G53" s="40">
        <v>1.9930181165116645</v>
      </c>
      <c r="H53" s="40">
        <v>1.0852177707903135</v>
      </c>
      <c r="I53" s="40">
        <v>1.0852177707903135</v>
      </c>
      <c r="J53" s="40">
        <v>1.0852185762387871</v>
      </c>
      <c r="K53" s="40">
        <v>1.0852185762387871</v>
      </c>
      <c r="L53" s="40">
        <v>1.0852185762387871</v>
      </c>
      <c r="M53" s="40">
        <v>0.75214965262083699</v>
      </c>
      <c r="N53" s="40">
        <v>0.75214965262083699</v>
      </c>
      <c r="O53" s="40">
        <v>0.75214965262083699</v>
      </c>
      <c r="P53" s="40">
        <v>0.75214965262083699</v>
      </c>
      <c r="Q53" s="40">
        <v>0.75214965262083699</v>
      </c>
      <c r="R53" s="40">
        <v>0.75214965262083699</v>
      </c>
      <c r="S53" s="105">
        <v>100</v>
      </c>
      <c r="T53" s="105">
        <v>100</v>
      </c>
      <c r="U53" s="105">
        <v>100</v>
      </c>
      <c r="V53" s="105">
        <v>100</v>
      </c>
      <c r="W53" s="105">
        <v>100</v>
      </c>
      <c r="X53" s="105">
        <v>100</v>
      </c>
      <c r="Y53" s="105">
        <v>100</v>
      </c>
      <c r="Z53" s="105">
        <v>100</v>
      </c>
      <c r="AA53" s="106">
        <v>100</v>
      </c>
    </row>
    <row r="54" spans="1:27">
      <c r="A54" s="22" t="s">
        <v>39</v>
      </c>
      <c r="B54" s="67"/>
      <c r="C54" s="18">
        <v>2.2088196862497491</v>
      </c>
      <c r="D54" s="18">
        <v>2.2088196862497491</v>
      </c>
      <c r="E54" s="18">
        <v>2.2088196862497496</v>
      </c>
      <c r="F54" s="18">
        <v>4.9687782519639763</v>
      </c>
      <c r="G54" s="18">
        <v>7.3276962424441798</v>
      </c>
      <c r="H54" s="18">
        <v>5.7634104111265687</v>
      </c>
      <c r="I54" s="18">
        <v>5.7634104111265687</v>
      </c>
      <c r="J54" s="18">
        <v>5.76341439207929</v>
      </c>
      <c r="K54" s="18">
        <v>5.76341439207929</v>
      </c>
      <c r="L54" s="18">
        <v>5.76341439207929</v>
      </c>
      <c r="M54" s="18">
        <v>3.6678656638210199</v>
      </c>
      <c r="N54" s="18">
        <v>3.6678656638210199</v>
      </c>
      <c r="O54" s="18">
        <v>3.6678656638210199</v>
      </c>
      <c r="P54" s="18">
        <v>3.6678656638210199</v>
      </c>
      <c r="Q54" s="18">
        <v>3.6678656638210199</v>
      </c>
      <c r="R54" s="18">
        <v>3.6678656638210199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9">
        <v>0</v>
      </c>
    </row>
    <row r="55" spans="1:27">
      <c r="A55" s="22" t="s">
        <v>40</v>
      </c>
      <c r="B55" s="67"/>
      <c r="C55" s="18">
        <v>1.6790184591842485</v>
      </c>
      <c r="D55" s="18">
        <v>1.6790184591842485</v>
      </c>
      <c r="E55" s="18">
        <v>1.6790184591842485</v>
      </c>
      <c r="F55" s="18">
        <v>0.21811521742404674</v>
      </c>
      <c r="G55" s="18">
        <v>1.0914242907888852E-2</v>
      </c>
      <c r="H55" s="18">
        <v>0.14831687834450533</v>
      </c>
      <c r="I55" s="18">
        <v>0.14831687834450533</v>
      </c>
      <c r="J55" s="18">
        <v>0.14831699255084577</v>
      </c>
      <c r="K55" s="18">
        <v>0.14831699255084577</v>
      </c>
      <c r="L55" s="18">
        <v>0.14831699255084577</v>
      </c>
      <c r="M55" s="18">
        <v>1.0537621872867602</v>
      </c>
      <c r="N55" s="18">
        <v>1.0537621872867602</v>
      </c>
      <c r="O55" s="18">
        <v>1.0537621872867602</v>
      </c>
      <c r="P55" s="18">
        <v>1.0537621872867602</v>
      </c>
      <c r="Q55" s="18">
        <v>1.0537621872867602</v>
      </c>
      <c r="R55" s="18">
        <v>1.0537621872867602</v>
      </c>
      <c r="S55" s="18">
        <v>3.2804943171040279E-4</v>
      </c>
      <c r="T55" s="18">
        <v>3.2804943171040279E-4</v>
      </c>
      <c r="U55" s="18">
        <v>3.2804943171040279E-4</v>
      </c>
      <c r="V55" s="18">
        <v>3.2804943171040279E-4</v>
      </c>
      <c r="W55" s="18">
        <v>3.2804943171040279E-4</v>
      </c>
      <c r="X55" s="18">
        <v>3.2804943171040279E-4</v>
      </c>
      <c r="Y55" s="18">
        <v>3.2804943171040279E-4</v>
      </c>
      <c r="Z55" s="18">
        <v>3.2804943171040279E-4</v>
      </c>
      <c r="AA55" s="19">
        <v>3.2804943171040279E-4</v>
      </c>
    </row>
    <row r="56" spans="1:27">
      <c r="A56" s="22" t="s">
        <v>41</v>
      </c>
      <c r="B56" s="67"/>
      <c r="C56" s="18">
        <v>1.9962908604922107</v>
      </c>
      <c r="D56" s="18">
        <v>1.9962908604922107</v>
      </c>
      <c r="E56" s="18">
        <v>1.9962908604922107</v>
      </c>
      <c r="F56" s="18">
        <v>2.0426241148264515</v>
      </c>
      <c r="G56" s="18">
        <v>0.92047708138214734</v>
      </c>
      <c r="H56" s="18">
        <v>1.6646143138573968</v>
      </c>
      <c r="I56" s="18">
        <v>1.6646143138573968</v>
      </c>
      <c r="J56" s="18">
        <v>1.6646155578078445</v>
      </c>
      <c r="K56" s="18">
        <v>1.6646155578078445</v>
      </c>
      <c r="L56" s="18">
        <v>1.6646155578078445</v>
      </c>
      <c r="M56" s="18">
        <v>1.8592818369120061</v>
      </c>
      <c r="N56" s="18">
        <v>1.8592818369120061</v>
      </c>
      <c r="O56" s="18">
        <v>1.8592818369120061</v>
      </c>
      <c r="P56" s="18">
        <v>1.8592818369120061</v>
      </c>
      <c r="Q56" s="18">
        <v>1.8592818369120061</v>
      </c>
      <c r="R56" s="18">
        <v>1.8592818369120061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9">
        <v>0</v>
      </c>
    </row>
    <row r="57" spans="1:27">
      <c r="A57" s="22" t="s">
        <v>42</v>
      </c>
      <c r="B57" s="67"/>
      <c r="C57" s="18">
        <v>62.033647193990163</v>
      </c>
      <c r="D57" s="18">
        <v>62.033647193990163</v>
      </c>
      <c r="E57" s="18">
        <v>62.033647193990163</v>
      </c>
      <c r="F57" s="18">
        <v>23.964795260928081</v>
      </c>
      <c r="G57" s="18">
        <v>3.7820037935700093</v>
      </c>
      <c r="H57" s="18">
        <v>17.165959851490953</v>
      </c>
      <c r="I57" s="18">
        <v>17.165959851490953</v>
      </c>
      <c r="J57" s="18">
        <v>17.165972976407691</v>
      </c>
      <c r="K57" s="18">
        <v>17.165972976407691</v>
      </c>
      <c r="L57" s="18">
        <v>17.165972976407691</v>
      </c>
      <c r="M57" s="18">
        <v>43.702908579549153</v>
      </c>
      <c r="N57" s="18">
        <v>43.702908579549153</v>
      </c>
      <c r="O57" s="18">
        <v>43.702908579549153</v>
      </c>
      <c r="P57" s="18">
        <v>43.702908579549153</v>
      </c>
      <c r="Q57" s="18">
        <v>43.702908579549153</v>
      </c>
      <c r="R57" s="18">
        <v>43.702908579549153</v>
      </c>
      <c r="S57" s="18">
        <v>2.0088199017209069E-5</v>
      </c>
      <c r="T57" s="18">
        <v>2.0088199017209069E-5</v>
      </c>
      <c r="U57" s="18">
        <v>2.0088199017209069E-5</v>
      </c>
      <c r="V57" s="18">
        <v>2.0088199017209069E-5</v>
      </c>
      <c r="W57" s="18">
        <v>2.0088199017209069E-5</v>
      </c>
      <c r="X57" s="18">
        <v>2.0088199017209069E-5</v>
      </c>
      <c r="Y57" s="18">
        <v>2.0088199017209069E-5</v>
      </c>
      <c r="Z57" s="18">
        <v>2.0088199017209069E-5</v>
      </c>
      <c r="AA57" s="19">
        <v>2.0088199017209069E-5</v>
      </c>
    </row>
    <row r="58" spans="1:27">
      <c r="A58" s="22" t="s">
        <v>43</v>
      </c>
      <c r="B58" s="67"/>
      <c r="C58" s="18">
        <v>19.134384101843402</v>
      </c>
      <c r="D58" s="18">
        <v>19.134384101843402</v>
      </c>
      <c r="E58" s="18">
        <v>19.134384101843402</v>
      </c>
      <c r="F58" s="18">
        <v>28.216228574436901</v>
      </c>
      <c r="G58" s="18">
        <v>22.209147724055288</v>
      </c>
      <c r="H58" s="18">
        <v>26.192665379079155</v>
      </c>
      <c r="I58" s="18">
        <v>26.192665379079155</v>
      </c>
      <c r="J58" s="18">
        <v>26.192684480371227</v>
      </c>
      <c r="K58" s="18">
        <v>26.192684480371227</v>
      </c>
      <c r="L58" s="18">
        <v>26.192684480371227</v>
      </c>
      <c r="M58" s="18">
        <v>22.011684106215547</v>
      </c>
      <c r="N58" s="18">
        <v>22.011684106215547</v>
      </c>
      <c r="O58" s="18">
        <v>22.011684106215547</v>
      </c>
      <c r="P58" s="18">
        <v>22.011684106215547</v>
      </c>
      <c r="Q58" s="18">
        <v>22.011684106215547</v>
      </c>
      <c r="R58" s="18">
        <v>22.011684106215547</v>
      </c>
      <c r="S58" s="18">
        <v>1.7625462041232165E-7</v>
      </c>
      <c r="T58" s="18">
        <v>1.7625462041232165E-7</v>
      </c>
      <c r="U58" s="18">
        <v>1.7625462041232165E-7</v>
      </c>
      <c r="V58" s="18">
        <v>1.7625462041232165E-7</v>
      </c>
      <c r="W58" s="18">
        <v>1.7625462041232165E-7</v>
      </c>
      <c r="X58" s="18">
        <v>1.7625462041232165E-7</v>
      </c>
      <c r="Y58" s="18">
        <v>1.7625462041232165E-7</v>
      </c>
      <c r="Z58" s="18">
        <v>1.7625462041232165E-7</v>
      </c>
      <c r="AA58" s="19">
        <v>1.7625462041232165E-7</v>
      </c>
    </row>
    <row r="59" spans="1:27">
      <c r="A59" s="22" t="s">
        <v>44</v>
      </c>
      <c r="B59" s="67"/>
      <c r="C59" s="18">
        <v>8.4376885322303234</v>
      </c>
      <c r="D59" s="18">
        <v>8.4376885322303234</v>
      </c>
      <c r="E59" s="18">
        <v>8.4376885322303234</v>
      </c>
      <c r="F59" s="18">
        <v>23.823479881543079</v>
      </c>
      <c r="G59" s="18">
        <v>43.710502453646214</v>
      </c>
      <c r="H59" s="18">
        <v>30.522681697613223</v>
      </c>
      <c r="I59" s="18">
        <v>30.522681697613223</v>
      </c>
      <c r="J59" s="18">
        <v>30.522700822903875</v>
      </c>
      <c r="K59" s="18">
        <v>30.522700822903875</v>
      </c>
      <c r="L59" s="18">
        <v>30.522700822903875</v>
      </c>
      <c r="M59" s="18">
        <v>17.45392540409587</v>
      </c>
      <c r="N59" s="18">
        <v>17.45392540409587</v>
      </c>
      <c r="O59" s="18">
        <v>17.45392540409587</v>
      </c>
      <c r="P59" s="18">
        <v>17.45392540409587</v>
      </c>
      <c r="Q59" s="18">
        <v>17.45392540409587</v>
      </c>
      <c r="R59" s="18">
        <v>17.45392540409587</v>
      </c>
      <c r="S59" s="18">
        <v>8.4415142733701132E-10</v>
      </c>
      <c r="T59" s="18">
        <v>8.4415142733701132E-10</v>
      </c>
      <c r="U59" s="18">
        <v>8.4415142733701132E-10</v>
      </c>
      <c r="V59" s="18">
        <v>8.4415142733701132E-10</v>
      </c>
      <c r="W59" s="18">
        <v>8.4415142733701132E-10</v>
      </c>
      <c r="X59" s="18">
        <v>8.4415142733701132E-10</v>
      </c>
      <c r="Y59" s="18">
        <v>8.4415142733701132E-10</v>
      </c>
      <c r="Z59" s="18">
        <v>8.4415142733701132E-10</v>
      </c>
      <c r="AA59" s="19">
        <v>8.4415142733701132E-10</v>
      </c>
    </row>
    <row r="60" spans="1:27">
      <c r="A60" s="22" t="s">
        <v>45</v>
      </c>
      <c r="B60" s="67"/>
      <c r="C60" s="18">
        <v>1.0224788371999587</v>
      </c>
      <c r="D60" s="18">
        <v>1.0224788371999587</v>
      </c>
      <c r="E60" s="18">
        <v>1.0224788371999587</v>
      </c>
      <c r="F60" s="18">
        <v>3.7300032695206071</v>
      </c>
      <c r="G60" s="18">
        <v>6.0592675707656616</v>
      </c>
      <c r="H60" s="18">
        <v>4.514646198366945</v>
      </c>
      <c r="I60" s="18">
        <v>4.514646198366945</v>
      </c>
      <c r="J60" s="18">
        <v>4.5146481683498845</v>
      </c>
      <c r="K60" s="18">
        <v>4.5146481683498845</v>
      </c>
      <c r="L60" s="18">
        <v>4.5146481683498845</v>
      </c>
      <c r="M60" s="18">
        <v>2.450988708783751</v>
      </c>
      <c r="N60" s="18">
        <v>2.450988708783751</v>
      </c>
      <c r="O60" s="18">
        <v>2.450988708783751</v>
      </c>
      <c r="P60" s="18">
        <v>2.450988708783751</v>
      </c>
      <c r="Q60" s="18">
        <v>2.450988708783751</v>
      </c>
      <c r="R60" s="18">
        <v>2.450988708783751</v>
      </c>
      <c r="S60" s="18">
        <v>4.0540555243031807E-13</v>
      </c>
      <c r="T60" s="18">
        <v>4.0540555243031807E-13</v>
      </c>
      <c r="U60" s="18">
        <v>4.0540555243031807E-13</v>
      </c>
      <c r="V60" s="18">
        <v>4.0540555243031807E-13</v>
      </c>
      <c r="W60" s="18">
        <v>4.0540555243031807E-13</v>
      </c>
      <c r="X60" s="18">
        <v>4.0540555243031807E-13</v>
      </c>
      <c r="Y60" s="18">
        <v>4.0540555243031807E-13</v>
      </c>
      <c r="Z60" s="18">
        <v>4.0540555243031807E-13</v>
      </c>
      <c r="AA60" s="19">
        <v>4.0540555243031807E-13</v>
      </c>
    </row>
    <row r="61" spans="1:27">
      <c r="A61" s="22" t="s">
        <v>46</v>
      </c>
      <c r="B61" s="67"/>
      <c r="C61" s="18">
        <v>1.883363945688481</v>
      </c>
      <c r="D61" s="18">
        <v>1.883363945688481</v>
      </c>
      <c r="E61" s="18">
        <v>1.883363945688481</v>
      </c>
      <c r="F61" s="18">
        <v>7.4939729494813871</v>
      </c>
      <c r="G61" s="18">
        <v>9.0502650578053743</v>
      </c>
      <c r="H61" s="18">
        <v>8.0182301569451546</v>
      </c>
      <c r="I61" s="18">
        <v>8.0182301569451546</v>
      </c>
      <c r="J61" s="18">
        <v>8.0182324151029079</v>
      </c>
      <c r="K61" s="18">
        <v>8.0182324151029079</v>
      </c>
      <c r="L61" s="18">
        <v>8.0182324151029079</v>
      </c>
      <c r="M61" s="18">
        <v>4.3936713409256427</v>
      </c>
      <c r="N61" s="18">
        <v>4.3936713409256427</v>
      </c>
      <c r="O61" s="18">
        <v>4.3936713409256427</v>
      </c>
      <c r="P61" s="18">
        <v>4.3936713409256427</v>
      </c>
      <c r="Q61" s="18">
        <v>4.3936713409256427</v>
      </c>
      <c r="R61" s="18">
        <v>4.3936713409256427</v>
      </c>
      <c r="S61" s="18">
        <v>1.1879741526329666E-12</v>
      </c>
      <c r="T61" s="18">
        <v>1.1879741526329666E-12</v>
      </c>
      <c r="U61" s="18">
        <v>1.1879741526329666E-12</v>
      </c>
      <c r="V61" s="18">
        <v>1.1879741526329666E-12</v>
      </c>
      <c r="W61" s="18">
        <v>1.1879741526329666E-12</v>
      </c>
      <c r="X61" s="18">
        <v>1.1879741526329666E-12</v>
      </c>
      <c r="Y61" s="18">
        <v>1.1879741526329666E-12</v>
      </c>
      <c r="Z61" s="18">
        <v>1.1879741526329666E-12</v>
      </c>
      <c r="AA61" s="19">
        <v>1.1879741526329666E-12</v>
      </c>
    </row>
    <row r="62" spans="1:27">
      <c r="A62" s="22" t="s">
        <v>47</v>
      </c>
      <c r="B62" s="67"/>
      <c r="C62" s="18">
        <v>0.2236185103419876</v>
      </c>
      <c r="D62" s="18">
        <v>0.2236185103419876</v>
      </c>
      <c r="E62" s="18">
        <v>0.2236185103419876</v>
      </c>
      <c r="F62" s="18">
        <v>0.97777708190008894</v>
      </c>
      <c r="G62" s="18">
        <v>0.99493471986329907</v>
      </c>
      <c r="H62" s="18">
        <v>0.9835568550655226</v>
      </c>
      <c r="I62" s="18">
        <v>0.9835568550655226</v>
      </c>
      <c r="J62" s="18">
        <v>0.98355651598416671</v>
      </c>
      <c r="K62" s="18">
        <v>0.98355651598416671</v>
      </c>
      <c r="L62" s="18">
        <v>0.98355651598416671</v>
      </c>
      <c r="M62" s="18">
        <v>0.53441364652735046</v>
      </c>
      <c r="N62" s="18">
        <v>0.53441364652735046</v>
      </c>
      <c r="O62" s="18">
        <v>0.53441364652735046</v>
      </c>
      <c r="P62" s="18">
        <v>0.53441364652735046</v>
      </c>
      <c r="Q62" s="18">
        <v>0.53441364652735046</v>
      </c>
      <c r="R62" s="18">
        <v>0.53441364652735046</v>
      </c>
      <c r="S62" s="18">
        <v>4.1677842378288715E-16</v>
      </c>
      <c r="T62" s="18">
        <v>4.1677842378288715E-16</v>
      </c>
      <c r="U62" s="18">
        <v>4.1677842378288715E-16</v>
      </c>
      <c r="V62" s="18">
        <v>4.1677842378288715E-16</v>
      </c>
      <c r="W62" s="18">
        <v>4.1677842378288715E-16</v>
      </c>
      <c r="X62" s="18">
        <v>4.1677842378288715E-16</v>
      </c>
      <c r="Y62" s="18">
        <v>4.1677842378288715E-16</v>
      </c>
      <c r="Z62" s="18">
        <v>4.1677842378288715E-16</v>
      </c>
      <c r="AA62" s="19">
        <v>4.1677842378288715E-16</v>
      </c>
    </row>
    <row r="63" spans="1:27">
      <c r="A63" s="22" t="s">
        <v>48</v>
      </c>
      <c r="B63" s="67"/>
      <c r="C63" s="18">
        <v>0.50223373164697471</v>
      </c>
      <c r="D63" s="18">
        <v>0.50223373164697471</v>
      </c>
      <c r="E63" s="18">
        <v>0.50223373164697471</v>
      </c>
      <c r="F63" s="18">
        <v>2.2693993247475763</v>
      </c>
      <c r="G63" s="18">
        <v>2.285367656598047</v>
      </c>
      <c r="H63" s="18">
        <v>2.2747784647040197</v>
      </c>
      <c r="I63" s="18">
        <v>2.2747784647040197</v>
      </c>
      <c r="J63" s="18">
        <v>2.2747767620590156</v>
      </c>
      <c r="K63" s="18">
        <v>2.2747767620590156</v>
      </c>
      <c r="L63" s="18">
        <v>2.2747767620590156</v>
      </c>
      <c r="M63" s="18">
        <v>1.2272174479941773</v>
      </c>
      <c r="N63" s="18">
        <v>1.2272174479941773</v>
      </c>
      <c r="O63" s="18">
        <v>1.2272174479941773</v>
      </c>
      <c r="P63" s="18">
        <v>1.2272174479941773</v>
      </c>
      <c r="Q63" s="18">
        <v>1.2272174479941773</v>
      </c>
      <c r="R63" s="18">
        <v>1.2272174479941773</v>
      </c>
      <c r="S63" s="18">
        <v>1.0540302280990143E-15</v>
      </c>
      <c r="T63" s="18">
        <v>1.0540302280990143E-15</v>
      </c>
      <c r="U63" s="18">
        <v>1.0540302280990143E-15</v>
      </c>
      <c r="V63" s="18">
        <v>1.0540302280990143E-15</v>
      </c>
      <c r="W63" s="18">
        <v>1.0540302280990143E-15</v>
      </c>
      <c r="X63" s="18">
        <v>1.0540302280990143E-15</v>
      </c>
      <c r="Y63" s="18">
        <v>1.0540302280990143E-15</v>
      </c>
      <c r="Z63" s="18">
        <v>1.0540302280990143E-15</v>
      </c>
      <c r="AA63" s="19">
        <v>1.0540302280990143E-15</v>
      </c>
    </row>
    <row r="64" spans="1:27">
      <c r="A64" s="22" t="s">
        <v>49</v>
      </c>
      <c r="B64" s="67"/>
      <c r="C64" s="18">
        <v>0.35642544242001412</v>
      </c>
      <c r="D64" s="18">
        <v>0.35642544242001412</v>
      </c>
      <c r="E64" s="18">
        <v>0.35642544242001412</v>
      </c>
      <c r="F64" s="18">
        <v>1.6706866795655577</v>
      </c>
      <c r="G64" s="18">
        <v>1.6563256692601263</v>
      </c>
      <c r="H64" s="18">
        <v>1.6658489867450295</v>
      </c>
      <c r="I64" s="18">
        <v>1.6658489867450295</v>
      </c>
      <c r="J64" s="18">
        <v>1.6658428169636894</v>
      </c>
      <c r="K64" s="18">
        <v>1.6658428169636894</v>
      </c>
      <c r="L64" s="18">
        <v>1.6658428169636894</v>
      </c>
      <c r="M64" s="18">
        <v>0.89211332128664289</v>
      </c>
      <c r="N64" s="18">
        <v>0.89211332128664289</v>
      </c>
      <c r="O64" s="18">
        <v>0.89211332128664289</v>
      </c>
      <c r="P64" s="18">
        <v>0.89211332128664289</v>
      </c>
      <c r="Q64" s="18">
        <v>0.89211332128664289</v>
      </c>
      <c r="R64" s="18">
        <v>0.89211332128664289</v>
      </c>
      <c r="S64" s="18">
        <v>1.6866156432781435E-18</v>
      </c>
      <c r="T64" s="18">
        <v>1.6866156432781435E-18</v>
      </c>
      <c r="U64" s="18">
        <v>1.6866156432781435E-18</v>
      </c>
      <c r="V64" s="18">
        <v>1.6866156432781435E-18</v>
      </c>
      <c r="W64" s="18">
        <v>1.6866156432781435E-18</v>
      </c>
      <c r="X64" s="18">
        <v>1.6866156432781435E-18</v>
      </c>
      <c r="Y64" s="18">
        <v>1.6866156432781435E-18</v>
      </c>
      <c r="Z64" s="18">
        <v>1.6866156432781435E-18</v>
      </c>
      <c r="AA64" s="19">
        <v>1.6866156432781435E-18</v>
      </c>
    </row>
    <row r="65" spans="1:27">
      <c r="A65" s="22" t="s">
        <v>50</v>
      </c>
      <c r="B65" s="67"/>
      <c r="C65" s="18">
        <v>1.4079164897442142E-5</v>
      </c>
      <c r="D65" s="18">
        <v>1.4079164897442142E-5</v>
      </c>
      <c r="E65" s="18">
        <v>1.4079164897442142E-5</v>
      </c>
      <c r="F65" s="18">
        <v>6.9665235431072293E-5</v>
      </c>
      <c r="G65" s="18">
        <v>7.9671190110700027E-5</v>
      </c>
      <c r="H65" s="18">
        <v>7.3035871207154129E-5</v>
      </c>
      <c r="I65" s="18">
        <v>7.3035871207154129E-5</v>
      </c>
      <c r="J65" s="18">
        <v>1.9523180766149302E-5</v>
      </c>
      <c r="K65" s="18">
        <v>1.9523180766149302E-5</v>
      </c>
      <c r="L65" s="18">
        <v>1.9523180766149302E-5</v>
      </c>
      <c r="M65" s="18">
        <v>1.810398125561662E-5</v>
      </c>
      <c r="N65" s="18">
        <v>1.810398125561662E-5</v>
      </c>
      <c r="O65" s="18">
        <v>1.810398125561662E-5</v>
      </c>
      <c r="P65" s="18">
        <v>1.810398125561662E-5</v>
      </c>
      <c r="Q65" s="18">
        <v>1.810398125561662E-5</v>
      </c>
      <c r="R65" s="18">
        <v>1.810398125561662E-5</v>
      </c>
      <c r="S65" s="18">
        <v>6.7436390494676662E-37</v>
      </c>
      <c r="T65" s="18">
        <v>6.7436390494676662E-37</v>
      </c>
      <c r="U65" s="18">
        <v>6.7436390494676662E-37</v>
      </c>
      <c r="V65" s="18">
        <v>6.7436390494676662E-37</v>
      </c>
      <c r="W65" s="18">
        <v>6.7436390494676662E-37</v>
      </c>
      <c r="X65" s="18">
        <v>6.7436390494676662E-37</v>
      </c>
      <c r="Y65" s="18">
        <v>6.7436390494676662E-37</v>
      </c>
      <c r="Z65" s="18">
        <v>6.7436390494676662E-37</v>
      </c>
      <c r="AA65" s="19">
        <v>6.7436390494676662E-37</v>
      </c>
    </row>
    <row r="66" spans="1:27" ht="15.75" thickBot="1">
      <c r="A66" s="23"/>
      <c r="B66" s="69"/>
      <c r="C66" s="109">
        <f>SUM(C53:C65)</f>
        <v>100.00000000000004</v>
      </c>
      <c r="D66" s="109">
        <f t="shared" ref="D66:AA66" si="5">SUM(D53:D65)</f>
        <v>100.00000000000004</v>
      </c>
      <c r="E66" s="109">
        <f t="shared" si="5"/>
        <v>100.00000000000004</v>
      </c>
      <c r="F66" s="109">
        <f t="shared" si="5"/>
        <v>99.999999999999986</v>
      </c>
      <c r="G66" s="109">
        <f t="shared" si="5"/>
        <v>100</v>
      </c>
      <c r="H66" s="109">
        <f t="shared" si="5"/>
        <v>100</v>
      </c>
      <c r="I66" s="109">
        <f t="shared" si="5"/>
        <v>100</v>
      </c>
      <c r="J66" s="109">
        <f t="shared" si="5"/>
        <v>99.999999999999972</v>
      </c>
      <c r="K66" s="109">
        <f t="shared" si="5"/>
        <v>99.999999999999972</v>
      </c>
      <c r="L66" s="109">
        <f t="shared" si="5"/>
        <v>99.999999999999972</v>
      </c>
      <c r="M66" s="109">
        <f t="shared" si="5"/>
        <v>100.00000000000003</v>
      </c>
      <c r="N66" s="109">
        <f t="shared" si="5"/>
        <v>100.00000000000003</v>
      </c>
      <c r="O66" s="109">
        <f t="shared" si="5"/>
        <v>100.00000000000003</v>
      </c>
      <c r="P66" s="109">
        <f t="shared" si="5"/>
        <v>100.00000000000003</v>
      </c>
      <c r="Q66" s="109">
        <f t="shared" si="5"/>
        <v>100.00000000000003</v>
      </c>
      <c r="R66" s="109">
        <f t="shared" si="5"/>
        <v>100.00000000000003</v>
      </c>
      <c r="S66" s="109">
        <f t="shared" si="5"/>
        <v>100.00034831473111</v>
      </c>
      <c r="T66" s="109">
        <f t="shared" si="5"/>
        <v>100.00034831473111</v>
      </c>
      <c r="U66" s="109">
        <f t="shared" si="5"/>
        <v>100.00034831473111</v>
      </c>
      <c r="V66" s="109">
        <f t="shared" si="5"/>
        <v>100.00034831473111</v>
      </c>
      <c r="W66" s="109">
        <f t="shared" si="5"/>
        <v>100.00034831473111</v>
      </c>
      <c r="X66" s="109">
        <f t="shared" si="5"/>
        <v>100.00034831473111</v>
      </c>
      <c r="Y66" s="109">
        <f t="shared" si="5"/>
        <v>100.00034831473111</v>
      </c>
      <c r="Z66" s="109">
        <f t="shared" si="5"/>
        <v>100.00034831473111</v>
      </c>
      <c r="AA66" s="109">
        <f t="shared" si="5"/>
        <v>100.00034831473111</v>
      </c>
    </row>
    <row r="67" spans="1:27">
      <c r="A67" s="107" t="s">
        <v>89</v>
      </c>
    </row>
    <row r="68" spans="1:27">
      <c r="A68" s="108" t="s">
        <v>90</v>
      </c>
    </row>
    <row r="69" spans="1:27">
      <c r="A69" s="108" t="s">
        <v>91</v>
      </c>
    </row>
    <row r="70" spans="1:27">
      <c r="A70" s="112" t="s">
        <v>102</v>
      </c>
    </row>
  </sheetData>
  <mergeCells count="5">
    <mergeCell ref="A52:AA52"/>
    <mergeCell ref="A2:AA2"/>
    <mergeCell ref="A15:AA15"/>
    <mergeCell ref="A29:AA29"/>
    <mergeCell ref="A41:AA41"/>
  </mergeCells>
  <printOptions horizontalCentered="1" verticalCentered="1"/>
  <pageMargins left="0.2" right="0.2" top="0.25" bottom="0.25" header="0.1" footer="0.05"/>
  <pageSetup paperSize="8" scale="76" orientation="landscape" horizontalDpi="4294967292" verticalDpi="0" r:id="rId1"/>
  <headerFooter>
    <oddHeader>&amp;LHEAT and MATERIAL BALANCE (H and M REPORT)</oddHeader>
  </headerFooter>
  <ignoredErrors>
    <ignoredError sqref="T6:X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71"/>
  <sheetViews>
    <sheetView tabSelected="1" zoomScaleNormal="100" workbookViewId="0">
      <selection activeCell="A2" sqref="A2:X2"/>
    </sheetView>
  </sheetViews>
  <sheetFormatPr defaultRowHeight="12.75"/>
  <cols>
    <col min="1" max="1" width="19.28515625" style="4" bestFit="1" customWidth="1"/>
    <col min="2" max="2" width="9.140625" style="2"/>
    <col min="3" max="4" width="11.5703125" style="2" bestFit="1" customWidth="1"/>
    <col min="5" max="8" width="10.5703125" style="2" bestFit="1" customWidth="1"/>
    <col min="9" max="9" width="11.85546875" style="2" bestFit="1" customWidth="1"/>
    <col min="10" max="10" width="11.5703125" style="2" bestFit="1" customWidth="1"/>
    <col min="11" max="11" width="11.140625" style="2" bestFit="1" customWidth="1"/>
    <col min="12" max="13" width="11.28515625" style="2" bestFit="1" customWidth="1"/>
    <col min="14" max="14" width="11.85546875" style="2" bestFit="1" customWidth="1"/>
    <col min="15" max="18" width="11.140625" style="2" bestFit="1" customWidth="1"/>
    <col min="19" max="19" width="10.85546875" style="2" bestFit="1" customWidth="1"/>
    <col min="20" max="20" width="9.42578125" style="2" bestFit="1" customWidth="1"/>
    <col min="21" max="24" width="10" style="2" bestFit="1" customWidth="1"/>
    <col min="25" max="16384" width="9.140625" style="2"/>
  </cols>
  <sheetData>
    <row r="1" spans="1:24" s="101" customFormat="1" ht="21" customHeight="1" thickBot="1">
      <c r="A1" s="96" t="s">
        <v>52</v>
      </c>
      <c r="B1" s="97" t="s">
        <v>51</v>
      </c>
      <c r="C1" s="98" t="s">
        <v>92</v>
      </c>
      <c r="D1" s="98" t="s">
        <v>93</v>
      </c>
      <c r="E1" s="98" t="s">
        <v>94</v>
      </c>
      <c r="F1" s="98" t="s">
        <v>95</v>
      </c>
      <c r="G1" s="98" t="s">
        <v>96</v>
      </c>
      <c r="H1" s="98" t="s">
        <v>97</v>
      </c>
      <c r="I1" s="98" t="s">
        <v>98</v>
      </c>
      <c r="J1" s="98" t="s">
        <v>99</v>
      </c>
      <c r="K1" s="98" t="s">
        <v>100</v>
      </c>
      <c r="L1" s="98" t="s">
        <v>101</v>
      </c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</row>
    <row r="2" spans="1:24" s="3" customFormat="1" ht="16.5" thickBo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/>
    </row>
    <row r="3" spans="1:24" s="3" customFormat="1" ht="15">
      <c r="A3" s="29" t="s">
        <v>58</v>
      </c>
      <c r="B3" s="30"/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s="3" customFormat="1" ht="15">
      <c r="A4" s="22" t="s">
        <v>2</v>
      </c>
      <c r="B4" s="5"/>
      <c r="C4" s="41">
        <v>4.6879323356264498E-2</v>
      </c>
      <c r="D4" s="41">
        <v>4.6879323356264498E-2</v>
      </c>
      <c r="E4" s="41">
        <v>4.6879323356264498E-2</v>
      </c>
      <c r="F4" s="41">
        <v>4.6879323356264498E-2</v>
      </c>
      <c r="G4" s="41">
        <v>4.6879323356264498E-2</v>
      </c>
      <c r="H4" s="41">
        <v>4.6879323356264498E-2</v>
      </c>
      <c r="I4" s="41">
        <v>4.6879323356264498E-2</v>
      </c>
      <c r="J4" s="41">
        <v>4.6879323356264498E-2</v>
      </c>
      <c r="K4" s="41">
        <v>4.6879323356264498E-2</v>
      </c>
      <c r="L4" s="41">
        <v>4.6879323356264498E-2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7"/>
    </row>
    <row r="5" spans="1:24" s="3" customFormat="1" ht="15">
      <c r="A5" s="22" t="s">
        <v>3</v>
      </c>
      <c r="B5" s="6" t="s">
        <v>53</v>
      </c>
      <c r="C5" s="12">
        <v>45.135522186878291</v>
      </c>
      <c r="D5" s="12">
        <v>45.135522186878291</v>
      </c>
      <c r="E5" s="12">
        <v>45.135522186878291</v>
      </c>
      <c r="F5" s="12">
        <v>45.135522186878291</v>
      </c>
      <c r="G5" s="12">
        <v>45.135522186878291</v>
      </c>
      <c r="H5" s="12">
        <v>45.135522186878291</v>
      </c>
      <c r="I5" s="12">
        <v>45.135522186878291</v>
      </c>
      <c r="J5" s="12">
        <v>45.135522186878291</v>
      </c>
      <c r="K5" s="12">
        <v>45.135522186878291</v>
      </c>
      <c r="L5" s="12">
        <v>45.135522186878291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</row>
    <row r="6" spans="1:24" s="3" customFormat="1" ht="15">
      <c r="A6" s="22" t="s">
        <v>4</v>
      </c>
      <c r="B6" s="5" t="s">
        <v>5</v>
      </c>
      <c r="C6" s="14">
        <f>ROUND(1930.53292383635,0)</f>
        <v>1931</v>
      </c>
      <c r="D6" s="14">
        <f t="shared" ref="D6:H6" si="0">ROUND(1930.53292383635,0)</f>
        <v>1931</v>
      </c>
      <c r="E6" s="14">
        <f t="shared" si="0"/>
        <v>1931</v>
      </c>
      <c r="F6" s="14">
        <f t="shared" si="0"/>
        <v>1931</v>
      </c>
      <c r="G6" s="14">
        <f t="shared" si="0"/>
        <v>1931</v>
      </c>
      <c r="H6" s="14">
        <f t="shared" si="0"/>
        <v>1931</v>
      </c>
      <c r="I6" s="14">
        <f t="shared" ref="I6:K6" si="1">ROUND(1930.53292383635,0)</f>
        <v>1931</v>
      </c>
      <c r="J6" s="14">
        <f t="shared" si="1"/>
        <v>1931</v>
      </c>
      <c r="K6" s="14">
        <f t="shared" si="1"/>
        <v>1931</v>
      </c>
      <c r="L6" s="14">
        <f>ROUND(1930.53292383635,0)</f>
        <v>1931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</row>
    <row r="7" spans="1:24" s="3" customFormat="1" ht="15">
      <c r="A7" s="22" t="s">
        <v>4</v>
      </c>
      <c r="B7" s="5" t="s">
        <v>61</v>
      </c>
      <c r="C7" s="14">
        <f>C6*0.145</f>
        <v>279.995</v>
      </c>
      <c r="D7" s="14">
        <f t="shared" ref="D7:F7" si="2">D6*0.145</f>
        <v>279.995</v>
      </c>
      <c r="E7" s="14">
        <f t="shared" si="2"/>
        <v>279.995</v>
      </c>
      <c r="F7" s="14">
        <f t="shared" si="2"/>
        <v>279.995</v>
      </c>
      <c r="G7" s="14">
        <f t="shared" ref="G7" si="3">G6*0.145</f>
        <v>279.995</v>
      </c>
      <c r="H7" s="14">
        <f t="shared" ref="H7" si="4">H6*0.145</f>
        <v>279.995</v>
      </c>
      <c r="I7" s="14">
        <f t="shared" ref="I7:K7" si="5">I6*0.145</f>
        <v>279.995</v>
      </c>
      <c r="J7" s="14">
        <f t="shared" si="5"/>
        <v>279.995</v>
      </c>
      <c r="K7" s="14">
        <f t="shared" si="5"/>
        <v>279.995</v>
      </c>
      <c r="L7" s="14">
        <f>L6*0.145</f>
        <v>279.995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</row>
    <row r="8" spans="1:24" s="3" customFormat="1" ht="15">
      <c r="A8" s="22" t="s">
        <v>6</v>
      </c>
      <c r="B8" s="5" t="s">
        <v>7</v>
      </c>
      <c r="C8" s="16">
        <v>15280.375859362301</v>
      </c>
      <c r="D8" s="16">
        <f>C8*2</f>
        <v>30560.751718724601</v>
      </c>
      <c r="E8" s="16">
        <f>D8</f>
        <v>30560.751718724601</v>
      </c>
      <c r="F8" s="16">
        <f>C8*3</f>
        <v>45841.127578086904</v>
      </c>
      <c r="G8" s="16">
        <f>C8*5</f>
        <v>76401.879296811501</v>
      </c>
      <c r="H8" s="16">
        <f>G8</f>
        <v>76401.879296811501</v>
      </c>
      <c r="I8" s="16">
        <v>15280.375859362301</v>
      </c>
      <c r="J8" s="16">
        <v>15280.375859362301</v>
      </c>
      <c r="K8" s="16">
        <v>15280.375859362301</v>
      </c>
      <c r="L8" s="16">
        <v>15280.375859362301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s="3" customFormat="1" ht="15">
      <c r="A9" s="22" t="s">
        <v>8</v>
      </c>
      <c r="B9" s="5" t="s">
        <v>9</v>
      </c>
      <c r="C9" s="14">
        <v>301.79693432144398</v>
      </c>
      <c r="D9" s="14">
        <v>603.59386864288695</v>
      </c>
      <c r="E9" s="14">
        <v>603.59386864288695</v>
      </c>
      <c r="F9" s="14">
        <f>C9*3</f>
        <v>905.3908029643319</v>
      </c>
      <c r="G9" s="14">
        <f>C9*5</f>
        <v>1508.98467160722</v>
      </c>
      <c r="H9" s="14">
        <f>G9</f>
        <v>1508.98467160722</v>
      </c>
      <c r="I9" s="14">
        <v>301.79693432144398</v>
      </c>
      <c r="J9" s="14">
        <v>301.79693432144398</v>
      </c>
      <c r="K9" s="14">
        <v>301.79693432144398</v>
      </c>
      <c r="L9" s="14">
        <v>301.79693432144398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</row>
    <row r="10" spans="1:24" s="3" customFormat="1" ht="15">
      <c r="A10" s="22" t="s">
        <v>10</v>
      </c>
      <c r="B10" s="5"/>
      <c r="C10" s="60">
        <f>ROUND(50.6313157014617,1)</f>
        <v>50.6</v>
      </c>
      <c r="D10" s="60">
        <f t="shared" ref="D10:H10" si="6">ROUND(50.6313157014617,1)</f>
        <v>50.6</v>
      </c>
      <c r="E10" s="60">
        <f t="shared" si="6"/>
        <v>50.6</v>
      </c>
      <c r="F10" s="60">
        <f t="shared" si="6"/>
        <v>50.6</v>
      </c>
      <c r="G10" s="60">
        <f t="shared" si="6"/>
        <v>50.6</v>
      </c>
      <c r="H10" s="60">
        <f t="shared" si="6"/>
        <v>50.6</v>
      </c>
      <c r="I10" s="60">
        <f t="shared" ref="I10:K10" si="7">ROUND(50.6313157014617,1)</f>
        <v>50.6</v>
      </c>
      <c r="J10" s="60">
        <f t="shared" si="7"/>
        <v>50.6</v>
      </c>
      <c r="K10" s="60">
        <f t="shared" si="7"/>
        <v>50.6</v>
      </c>
      <c r="L10" s="60">
        <f>ROUND(50.6313157014617,1)</f>
        <v>50.6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</row>
    <row r="11" spans="1:24" s="3" customFormat="1" ht="15">
      <c r="A11" s="22" t="s">
        <v>11</v>
      </c>
      <c r="B11" s="5" t="s">
        <v>12</v>
      </c>
      <c r="C11" s="16">
        <v>-25540.174396897099</v>
      </c>
      <c r="D11" s="16">
        <f>C11*2</f>
        <v>-51080.348793794197</v>
      </c>
      <c r="E11" s="16">
        <f>D11</f>
        <v>-51080.348793794197</v>
      </c>
      <c r="F11" s="16">
        <f>C11*3</f>
        <v>-76620.523190691296</v>
      </c>
      <c r="G11" s="16">
        <f>C11*5</f>
        <v>-127700.87198448549</v>
      </c>
      <c r="H11" s="16">
        <f>G11</f>
        <v>-127700.87198448549</v>
      </c>
      <c r="I11" s="16">
        <v>-25540.174396897099</v>
      </c>
      <c r="J11" s="16">
        <v>-25540.174396897099</v>
      </c>
      <c r="K11" s="16">
        <v>-25540.174396897099</v>
      </c>
      <c r="L11" s="16">
        <v>-25540.174396897099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</row>
    <row r="12" spans="1:24" s="3" customFormat="1" ht="15">
      <c r="A12" s="22" t="s">
        <v>13</v>
      </c>
      <c r="B12" s="5" t="s">
        <v>54</v>
      </c>
      <c r="C12" s="12">
        <v>2.6169554444006899</v>
      </c>
      <c r="D12" s="12">
        <v>2.6169554444006899</v>
      </c>
      <c r="E12" s="12">
        <v>2.6169554444006899</v>
      </c>
      <c r="F12" s="12">
        <v>2.6169554444006899</v>
      </c>
      <c r="G12" s="12">
        <v>2.6169554444006899</v>
      </c>
      <c r="H12" s="12">
        <v>2.6169554444006899</v>
      </c>
      <c r="I12" s="12">
        <v>2.6169554444006899</v>
      </c>
      <c r="J12" s="12">
        <v>2.6169554444006899</v>
      </c>
      <c r="K12" s="12">
        <v>2.6169554444006899</v>
      </c>
      <c r="L12" s="12">
        <v>2.6169554444006899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</row>
    <row r="13" spans="1:24" s="3" customFormat="1" ht="15">
      <c r="A13" s="22" t="s">
        <v>14</v>
      </c>
      <c r="B13" s="5" t="s">
        <v>55</v>
      </c>
      <c r="C13" s="12">
        <v>450.50461368163002</v>
      </c>
      <c r="D13" s="12">
        <v>450.50461368163002</v>
      </c>
      <c r="E13" s="12">
        <v>450.50461368163002</v>
      </c>
      <c r="F13" s="12">
        <v>450.50461368163002</v>
      </c>
      <c r="G13" s="12">
        <v>450.50461368163002</v>
      </c>
      <c r="H13" s="12">
        <v>450.50461368163002</v>
      </c>
      <c r="I13" s="12">
        <v>450.50461368163002</v>
      </c>
      <c r="J13" s="12">
        <v>450.50461368163002</v>
      </c>
      <c r="K13" s="12">
        <v>450.50461368163002</v>
      </c>
      <c r="L13" s="12">
        <v>450.50461368163002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s="3" customFormat="1" ht="15.75" thickBot="1">
      <c r="A14" s="24"/>
      <c r="B14" s="25"/>
      <c r="C14" s="26"/>
      <c r="D14" s="26"/>
      <c r="E14" s="27"/>
      <c r="F14" s="27"/>
      <c r="G14" s="27"/>
      <c r="H14" s="2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8"/>
    </row>
    <row r="15" spans="1:24" s="3" customFormat="1" ht="16.5" thickBot="1">
      <c r="A15" s="113" t="s">
        <v>15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24" s="3" customFormat="1" ht="15">
      <c r="A16" s="29" t="s">
        <v>16</v>
      </c>
      <c r="B16" s="30" t="s">
        <v>103</v>
      </c>
      <c r="C16" s="31">
        <v>0.2838</v>
      </c>
      <c r="D16" s="31">
        <f>C16*2</f>
        <v>0.56759999999999999</v>
      </c>
      <c r="E16" s="31">
        <f>D16</f>
        <v>0.56759999999999999</v>
      </c>
      <c r="F16" s="12">
        <f>C16*3</f>
        <v>0.85139999999999993</v>
      </c>
      <c r="G16" s="31">
        <f>C16*5</f>
        <v>1.419</v>
      </c>
      <c r="H16" s="31">
        <f>G16</f>
        <v>1.419</v>
      </c>
      <c r="I16" s="31">
        <f>C16</f>
        <v>0.2838</v>
      </c>
      <c r="J16" s="31">
        <f>C16</f>
        <v>0.2838</v>
      </c>
      <c r="K16" s="31">
        <f>C16</f>
        <v>0.2838</v>
      </c>
      <c r="L16" s="31">
        <f>C16</f>
        <v>0.2838</v>
      </c>
      <c r="M16" s="12"/>
      <c r="N16" s="12"/>
      <c r="O16" s="12"/>
      <c r="P16" s="12"/>
      <c r="Q16" s="31"/>
      <c r="R16" s="12"/>
      <c r="S16" s="12"/>
      <c r="T16" s="12"/>
      <c r="U16" s="12"/>
      <c r="V16" s="12"/>
      <c r="W16" s="12"/>
      <c r="X16" s="13"/>
    </row>
    <row r="17" spans="1:24" s="3" customFormat="1" ht="15">
      <c r="A17" s="22" t="s">
        <v>18</v>
      </c>
      <c r="B17" s="5" t="s">
        <v>9</v>
      </c>
      <c r="C17" s="14">
        <v>14.148036071984301</v>
      </c>
      <c r="D17" s="14">
        <f>C17*2</f>
        <v>28.296072143968601</v>
      </c>
      <c r="E17" s="14">
        <f>D17</f>
        <v>28.296072143968601</v>
      </c>
      <c r="F17" s="14">
        <f>C17*3</f>
        <v>42.444108215952902</v>
      </c>
      <c r="G17" s="14">
        <f>C17*5</f>
        <v>70.74018035992151</v>
      </c>
      <c r="H17" s="14">
        <f>G17</f>
        <v>70.74018035992151</v>
      </c>
      <c r="I17" s="14">
        <v>14.148036071984301</v>
      </c>
      <c r="J17" s="14">
        <v>14.148036071984301</v>
      </c>
      <c r="K17" s="14">
        <v>14.148036071984301</v>
      </c>
      <c r="L17" s="14">
        <v>14.148036071984301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/>
    </row>
    <row r="18" spans="1:24" s="3" customFormat="1" ht="15">
      <c r="A18" s="22" t="s">
        <v>20</v>
      </c>
      <c r="B18" s="5" t="s">
        <v>56</v>
      </c>
      <c r="C18" s="14">
        <v>16.9966466049136</v>
      </c>
      <c r="D18" s="14">
        <f>C18*2</f>
        <v>33.9932932098272</v>
      </c>
      <c r="E18" s="14">
        <f>D18</f>
        <v>33.9932932098272</v>
      </c>
      <c r="F18" s="14">
        <f>C18*3</f>
        <v>50.989939814740801</v>
      </c>
      <c r="G18" s="14">
        <f>C18*5</f>
        <v>84.983233024567994</v>
      </c>
      <c r="H18" s="14">
        <f>G18</f>
        <v>84.983233024567994</v>
      </c>
      <c r="I18" s="14">
        <v>16.9966466049136</v>
      </c>
      <c r="J18" s="14">
        <v>16.9966466049136</v>
      </c>
      <c r="K18" s="14">
        <v>16.9966466049136</v>
      </c>
      <c r="L18" s="14">
        <v>16.9966466049136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</row>
    <row r="19" spans="1:24" s="3" customFormat="1" ht="15">
      <c r="A19" s="22" t="s">
        <v>21</v>
      </c>
      <c r="B19" s="5" t="s">
        <v>7</v>
      </c>
      <c r="C19" s="14">
        <v>340.24610437237402</v>
      </c>
      <c r="D19" s="14">
        <f>C19*2</f>
        <v>680.49220874474804</v>
      </c>
      <c r="E19" s="14">
        <f>D19</f>
        <v>680.49220874474804</v>
      </c>
      <c r="F19" s="14">
        <f>C19*3</f>
        <v>1020.7383131171221</v>
      </c>
      <c r="G19" s="14">
        <f>C19*5</f>
        <v>1701.2305218618701</v>
      </c>
      <c r="H19" s="14">
        <f>G19</f>
        <v>1701.2305218618701</v>
      </c>
      <c r="I19" s="14">
        <v>340.24610437237402</v>
      </c>
      <c r="J19" s="14">
        <v>340.24610437237402</v>
      </c>
      <c r="K19" s="14">
        <v>340.24610437237402</v>
      </c>
      <c r="L19" s="14">
        <v>340.24610437237402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</row>
    <row r="20" spans="1:24" s="3" customFormat="1" ht="15">
      <c r="A20" s="22" t="s">
        <v>22</v>
      </c>
      <c r="B20" s="5"/>
      <c r="C20" s="12">
        <v>24.048998931104201</v>
      </c>
      <c r="D20" s="12">
        <v>24.048998931104201</v>
      </c>
      <c r="E20" s="12">
        <v>24.048998931104201</v>
      </c>
      <c r="F20" s="12">
        <v>24.048998931104201</v>
      </c>
      <c r="G20" s="12">
        <v>24.048998931104201</v>
      </c>
      <c r="H20" s="12">
        <v>24.048998931104201</v>
      </c>
      <c r="I20" s="12">
        <v>24.048998931104201</v>
      </c>
      <c r="J20" s="12">
        <v>24.048998931104201</v>
      </c>
      <c r="K20" s="12">
        <v>24.048998931104201</v>
      </c>
      <c r="L20" s="12">
        <v>24.048998931104201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</row>
    <row r="21" spans="1:24" s="3" customFormat="1" ht="15">
      <c r="A21" s="22" t="s">
        <v>23</v>
      </c>
      <c r="B21" s="5" t="s">
        <v>54</v>
      </c>
      <c r="C21" s="41">
        <v>2.0856163028678982</v>
      </c>
      <c r="D21" s="41">
        <v>2.0856163028678982</v>
      </c>
      <c r="E21" s="41">
        <v>2.0856163028678982</v>
      </c>
      <c r="F21" s="41">
        <v>2.0856163028678982</v>
      </c>
      <c r="G21" s="41">
        <v>2.0856163028678982</v>
      </c>
      <c r="H21" s="41">
        <v>2.0856163028678982</v>
      </c>
      <c r="I21" s="41">
        <v>2.0856163028678982</v>
      </c>
      <c r="J21" s="41">
        <v>2.0856163028678982</v>
      </c>
      <c r="K21" s="41">
        <v>2.0856163028678982</v>
      </c>
      <c r="L21" s="41">
        <v>2.0856163028678982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</row>
    <row r="22" spans="1:24" s="3" customFormat="1" ht="15">
      <c r="A22" s="22" t="s">
        <v>24</v>
      </c>
      <c r="B22" s="5"/>
      <c r="C22" s="41">
        <v>0.92281458077642853</v>
      </c>
      <c r="D22" s="41">
        <v>0.92281458077642853</v>
      </c>
      <c r="E22" s="41">
        <v>0.92281458077642853</v>
      </c>
      <c r="F22" s="41">
        <v>0.92281458077642853</v>
      </c>
      <c r="G22" s="41">
        <v>0.92281458077642853</v>
      </c>
      <c r="H22" s="41">
        <v>0.92281458077642853</v>
      </c>
      <c r="I22" s="41">
        <v>0.92281458077642853</v>
      </c>
      <c r="J22" s="41">
        <v>0.92281458077642853</v>
      </c>
      <c r="K22" s="41">
        <v>0.92281458077642853</v>
      </c>
      <c r="L22" s="41">
        <v>0.92281458077642853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</row>
    <row r="23" spans="1:24" s="3" customFormat="1" ht="15">
      <c r="A23" s="22" t="s">
        <v>25</v>
      </c>
      <c r="B23" s="5" t="s">
        <v>57</v>
      </c>
      <c r="C23" s="41">
        <v>3.1649252427800784E-2</v>
      </c>
      <c r="D23" s="41">
        <v>3.1649252427800784E-2</v>
      </c>
      <c r="E23" s="41">
        <v>3.1649252427800784E-2</v>
      </c>
      <c r="F23" s="41">
        <v>3.1649252427800784E-2</v>
      </c>
      <c r="G23" s="41">
        <v>3.1649252427800784E-2</v>
      </c>
      <c r="H23" s="41">
        <v>3.1649252427800784E-2</v>
      </c>
      <c r="I23" s="41">
        <v>3.1649252427800784E-2</v>
      </c>
      <c r="J23" s="41">
        <v>3.1649252427800784E-2</v>
      </c>
      <c r="K23" s="41">
        <v>3.1649252427800784E-2</v>
      </c>
      <c r="L23" s="41">
        <v>3.1649252427800784E-2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</row>
    <row r="24" spans="1:24" s="3" customFormat="1" ht="15">
      <c r="A24" s="22" t="s">
        <v>26</v>
      </c>
      <c r="B24" s="5" t="s">
        <v>27</v>
      </c>
      <c r="C24" s="41">
        <v>1.2103572400838477E-2</v>
      </c>
      <c r="D24" s="41">
        <v>1.2103572400838477E-2</v>
      </c>
      <c r="E24" s="41">
        <v>1.2103572400838477E-2</v>
      </c>
      <c r="F24" s="41">
        <v>1.2103572400838477E-2</v>
      </c>
      <c r="G24" s="41">
        <v>1.2103572400838477E-2</v>
      </c>
      <c r="H24" s="41">
        <v>1.2103572400838477E-2</v>
      </c>
      <c r="I24" s="41">
        <v>1.2103572400838477E-2</v>
      </c>
      <c r="J24" s="41">
        <v>1.2103572400838477E-2</v>
      </c>
      <c r="K24" s="41">
        <v>1.2103572400838477E-2</v>
      </c>
      <c r="L24" s="41">
        <v>1.2103572400838477E-2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</row>
    <row r="25" spans="1:24" s="3" customFormat="1" ht="15">
      <c r="A25" s="22" t="s">
        <v>28</v>
      </c>
      <c r="B25" s="5" t="s">
        <v>55</v>
      </c>
      <c r="C25" s="41">
        <v>20.018879325629769</v>
      </c>
      <c r="D25" s="41">
        <v>20.018879325629769</v>
      </c>
      <c r="E25" s="41">
        <v>20.018879325629769</v>
      </c>
      <c r="F25" s="41">
        <v>20.018879325629769</v>
      </c>
      <c r="G25" s="41">
        <v>20.018879325629769</v>
      </c>
      <c r="H25" s="41">
        <v>20.018879325629769</v>
      </c>
      <c r="I25" s="41">
        <v>20.018879325629769</v>
      </c>
      <c r="J25" s="41">
        <v>20.018879325629769</v>
      </c>
      <c r="K25" s="41">
        <v>20.018879325629769</v>
      </c>
      <c r="L25" s="41">
        <v>20.018879325629769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</row>
    <row r="26" spans="1:24" s="3" customFormat="1" ht="15">
      <c r="A26" s="22" t="s">
        <v>29</v>
      </c>
      <c r="B26" s="5"/>
      <c r="C26" s="41">
        <v>1.1985814440827927</v>
      </c>
      <c r="D26" s="41">
        <v>1.1985814440827927</v>
      </c>
      <c r="E26" s="41">
        <v>1.1985814440827927</v>
      </c>
      <c r="F26" s="41">
        <v>1.1985814440827927</v>
      </c>
      <c r="G26" s="41">
        <v>1.1985814440827927</v>
      </c>
      <c r="H26" s="41">
        <v>1.1985814440827927</v>
      </c>
      <c r="I26" s="41">
        <v>1.1985814440827927</v>
      </c>
      <c r="J26" s="41">
        <v>1.1985814440827927</v>
      </c>
      <c r="K26" s="41">
        <v>1.1985814440827927</v>
      </c>
      <c r="L26" s="41">
        <v>1.1985814440827927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</row>
    <row r="27" spans="1:24" s="3" customFormat="1" ht="15">
      <c r="A27" s="22"/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</row>
    <row r="28" spans="1:24" s="3" customFormat="1" ht="15.75" thickBot="1">
      <c r="A28" s="33"/>
      <c r="B28" s="34"/>
      <c r="C28" s="27"/>
      <c r="D28" s="27"/>
      <c r="E28" s="27"/>
      <c r="F28" s="27"/>
      <c r="G28" s="27"/>
      <c r="H28" s="27"/>
      <c r="I28" s="27"/>
      <c r="J28" s="26"/>
      <c r="K28" s="26"/>
      <c r="L28" s="26"/>
      <c r="M28" s="27"/>
      <c r="N28" s="27"/>
      <c r="O28" s="27"/>
      <c r="P28" s="26"/>
      <c r="Q28" s="26"/>
      <c r="R28" s="26"/>
      <c r="S28" s="26"/>
      <c r="T28" s="27"/>
      <c r="U28" s="26"/>
      <c r="V28" s="27"/>
      <c r="W28" s="27"/>
      <c r="X28" s="28"/>
    </row>
    <row r="29" spans="1:24" s="3" customFormat="1" ht="16.5" thickBot="1">
      <c r="A29" s="113" t="s">
        <v>30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</row>
    <row r="30" spans="1:24" s="3" customFormat="1" ht="15">
      <c r="A30" s="29" t="s">
        <v>21</v>
      </c>
      <c r="B30" s="30" t="s">
        <v>7</v>
      </c>
      <c r="C30" s="103">
        <v>10610.449458175601</v>
      </c>
      <c r="D30" s="103">
        <f>C30*2</f>
        <v>21220.898916351201</v>
      </c>
      <c r="E30" s="103">
        <f>D30</f>
        <v>21220.898916351201</v>
      </c>
      <c r="F30" s="103">
        <f>C30*3</f>
        <v>31831.348374526802</v>
      </c>
      <c r="G30" s="103">
        <f>C30*5</f>
        <v>53052.247290878004</v>
      </c>
      <c r="H30" s="103">
        <f>G30</f>
        <v>53052.247290878004</v>
      </c>
      <c r="I30" s="103">
        <v>10610.449458175601</v>
      </c>
      <c r="J30" s="103">
        <v>10610.449458175601</v>
      </c>
      <c r="K30" s="103">
        <v>10610.449458175601</v>
      </c>
      <c r="L30" s="103">
        <v>10610.449458175601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4"/>
    </row>
    <row r="31" spans="1:24" s="3" customFormat="1" ht="15">
      <c r="A31" s="22" t="s">
        <v>31</v>
      </c>
      <c r="B31" s="7" t="s">
        <v>32</v>
      </c>
      <c r="C31" s="14">
        <v>12.19</v>
      </c>
      <c r="D31" s="14">
        <f>C31*2</f>
        <v>24.38</v>
      </c>
      <c r="E31" s="14">
        <f>D31</f>
        <v>24.38</v>
      </c>
      <c r="F31" s="14">
        <f>C31*3</f>
        <v>36.57</v>
      </c>
      <c r="G31" s="14">
        <f>C31*5</f>
        <v>60.949999999999996</v>
      </c>
      <c r="H31" s="14">
        <f>G31</f>
        <v>60.949999999999996</v>
      </c>
      <c r="I31" s="14">
        <v>12.19</v>
      </c>
      <c r="J31" s="14">
        <v>12.19</v>
      </c>
      <c r="K31" s="14">
        <v>12.19</v>
      </c>
      <c r="L31" s="14">
        <v>12.19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</row>
    <row r="32" spans="1:24" s="3" customFormat="1" ht="15">
      <c r="A32" s="22" t="s">
        <v>33</v>
      </c>
      <c r="B32" s="5" t="s">
        <v>56</v>
      </c>
      <c r="C32" s="12">
        <v>12.56</v>
      </c>
      <c r="D32" s="12">
        <f>C32*2</f>
        <v>25.12</v>
      </c>
      <c r="E32" s="12">
        <f>D32</f>
        <v>25.12</v>
      </c>
      <c r="F32" s="12">
        <f>C32*3</f>
        <v>37.68</v>
      </c>
      <c r="G32" s="12">
        <f>C32*5</f>
        <v>62.800000000000004</v>
      </c>
      <c r="H32" s="12">
        <f>G32</f>
        <v>62.800000000000004</v>
      </c>
      <c r="I32" s="12">
        <v>12.56</v>
      </c>
      <c r="J32" s="12">
        <v>12.56</v>
      </c>
      <c r="K32" s="12">
        <v>12.56</v>
      </c>
      <c r="L32" s="12">
        <v>12.56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3"/>
    </row>
    <row r="33" spans="1:24" s="3" customFormat="1" ht="15">
      <c r="A33" s="22" t="s">
        <v>22</v>
      </c>
      <c r="B33" s="5"/>
      <c r="C33" s="12">
        <v>223.69682838783041</v>
      </c>
      <c r="D33" s="12">
        <v>223.69682838783041</v>
      </c>
      <c r="E33" s="12">
        <v>223.69682838783041</v>
      </c>
      <c r="F33" s="12">
        <v>223.69682838783041</v>
      </c>
      <c r="G33" s="12">
        <v>223.69682838783041</v>
      </c>
      <c r="H33" s="12">
        <v>223.69682838783041</v>
      </c>
      <c r="I33" s="12">
        <v>223.69682838783041</v>
      </c>
      <c r="J33" s="12">
        <v>223.69682838783041</v>
      </c>
      <c r="K33" s="12">
        <v>223.69682838783041</v>
      </c>
      <c r="L33" s="12">
        <v>223.69682838783041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3"/>
    </row>
    <row r="34" spans="1:24" s="3" customFormat="1" ht="15">
      <c r="A34" s="22" t="s">
        <v>23</v>
      </c>
      <c r="B34" s="5" t="s">
        <v>54</v>
      </c>
      <c r="C34" s="12">
        <v>1.9425877431549128</v>
      </c>
      <c r="D34" s="12">
        <v>1.9425877431549128</v>
      </c>
      <c r="E34" s="12">
        <v>1.9425877431549128</v>
      </c>
      <c r="F34" s="12">
        <v>1.9425877431549128</v>
      </c>
      <c r="G34" s="12">
        <v>1.9425877431549128</v>
      </c>
      <c r="H34" s="12">
        <v>1.9425877431549128</v>
      </c>
      <c r="I34" s="12">
        <v>1.9425877431549128</v>
      </c>
      <c r="J34" s="12">
        <v>1.9425877431549128</v>
      </c>
      <c r="K34" s="12">
        <v>1.9425877431549128</v>
      </c>
      <c r="L34" s="12">
        <v>1.9425877431549128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3"/>
    </row>
    <row r="35" spans="1:24" s="3" customFormat="1" ht="15">
      <c r="A35" s="22" t="s">
        <v>25</v>
      </c>
      <c r="B35" s="5" t="s">
        <v>57</v>
      </c>
      <c r="C35" s="12">
        <v>0.13072545671879143</v>
      </c>
      <c r="D35" s="12">
        <v>0.13072545671879143</v>
      </c>
      <c r="E35" s="12">
        <v>0.13072545671879143</v>
      </c>
      <c r="F35" s="12">
        <v>0.13072545671879143</v>
      </c>
      <c r="G35" s="12">
        <v>0.13072545671879143</v>
      </c>
      <c r="H35" s="12">
        <v>0.13072545671879143</v>
      </c>
      <c r="I35" s="12">
        <v>0.13072545671879143</v>
      </c>
      <c r="J35" s="12">
        <v>0.13072545671879143</v>
      </c>
      <c r="K35" s="12">
        <v>0.13072545671879143</v>
      </c>
      <c r="L35" s="12">
        <v>0.13072545671879143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</row>
    <row r="36" spans="1:24" s="3" customFormat="1" ht="15">
      <c r="A36" s="22" t="s">
        <v>26</v>
      </c>
      <c r="B36" s="5" t="s">
        <v>27</v>
      </c>
      <c r="C36" s="12">
        <v>12.800524660788509</v>
      </c>
      <c r="D36" s="12">
        <v>12.800524660788509</v>
      </c>
      <c r="E36" s="12">
        <v>12.800524660788509</v>
      </c>
      <c r="F36" s="12">
        <v>12.800524660788509</v>
      </c>
      <c r="G36" s="12">
        <v>12.800524660788509</v>
      </c>
      <c r="H36" s="12">
        <v>12.800524660788509</v>
      </c>
      <c r="I36" s="12">
        <v>12.800524660788509</v>
      </c>
      <c r="J36" s="12">
        <v>12.800524660788509</v>
      </c>
      <c r="K36" s="12">
        <v>12.800524660788509</v>
      </c>
      <c r="L36" s="12">
        <v>12.800524660788509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3"/>
    </row>
    <row r="37" spans="1:24" s="3" customFormat="1" ht="15">
      <c r="A37" s="22" t="s">
        <v>28</v>
      </c>
      <c r="B37" s="5" t="s">
        <v>55</v>
      </c>
      <c r="C37" s="12">
        <v>844.67417237154166</v>
      </c>
      <c r="D37" s="12">
        <v>844.67417237154166</v>
      </c>
      <c r="E37" s="12">
        <v>844.67417237154166</v>
      </c>
      <c r="F37" s="12">
        <v>844.67417237154166</v>
      </c>
      <c r="G37" s="12">
        <v>844.67417237154166</v>
      </c>
      <c r="H37" s="12">
        <v>844.67417237154166</v>
      </c>
      <c r="I37" s="12">
        <v>844.67417237154166</v>
      </c>
      <c r="J37" s="12">
        <v>844.67417237154166</v>
      </c>
      <c r="K37" s="12">
        <v>844.67417237154166</v>
      </c>
      <c r="L37" s="12">
        <v>844.67417237154166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3"/>
    </row>
    <row r="38" spans="1:24" s="3" customFormat="1" ht="15">
      <c r="A38" s="22" t="s">
        <v>34</v>
      </c>
      <c r="B38" s="8" t="s">
        <v>35</v>
      </c>
      <c r="C38" s="12">
        <v>48.922474375059316</v>
      </c>
      <c r="D38" s="12">
        <v>48.922474375059316</v>
      </c>
      <c r="E38" s="12">
        <v>48.922474375059316</v>
      </c>
      <c r="F38" s="12">
        <v>48.922474375059316</v>
      </c>
      <c r="G38" s="12">
        <v>48.922474375059316</v>
      </c>
      <c r="H38" s="12">
        <v>48.922474375059316</v>
      </c>
      <c r="I38" s="12">
        <v>48.922474375059316</v>
      </c>
      <c r="J38" s="12">
        <v>48.922474375059316</v>
      </c>
      <c r="K38" s="12">
        <v>48.922474375059316</v>
      </c>
      <c r="L38" s="12">
        <v>48.922474375059316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3"/>
    </row>
    <row r="39" spans="1:24" s="3" customFormat="1" ht="15">
      <c r="A39" s="22"/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3"/>
    </row>
    <row r="40" spans="1:24" s="3" customFormat="1" ht="15.75" thickBot="1">
      <c r="A40" s="33"/>
      <c r="B40" s="3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36"/>
    </row>
    <row r="41" spans="1:24" s="3" customFormat="1" ht="16.5" thickBot="1">
      <c r="A41" s="113" t="s">
        <v>36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5"/>
    </row>
    <row r="42" spans="1:24" s="3" customFormat="1" ht="15">
      <c r="A42" s="29" t="s">
        <v>21</v>
      </c>
      <c r="B42" s="30" t="s">
        <v>7</v>
      </c>
      <c r="C42" s="46">
        <v>4329.6802968143302</v>
      </c>
      <c r="D42" s="46">
        <f>C42*2</f>
        <v>8659.3605936286604</v>
      </c>
      <c r="E42" s="46">
        <f>D42:D42</f>
        <v>8659.3605936286604</v>
      </c>
      <c r="F42" s="46">
        <f>C42*3</f>
        <v>12989.04089044299</v>
      </c>
      <c r="G42" s="46">
        <f>C42*5</f>
        <v>21648.401484071652</v>
      </c>
      <c r="H42" s="46">
        <f>G42</f>
        <v>21648.401484071652</v>
      </c>
      <c r="I42" s="46">
        <v>4329.6802968143302</v>
      </c>
      <c r="J42" s="46">
        <v>4329.6802968143302</v>
      </c>
      <c r="K42" s="46">
        <v>4329.6802968143302</v>
      </c>
      <c r="L42" s="46">
        <v>4329.6802968143302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2"/>
    </row>
    <row r="43" spans="1:24" s="3" customFormat="1" ht="15">
      <c r="A43" s="22" t="s">
        <v>31</v>
      </c>
      <c r="B43" s="7" t="s">
        <v>32</v>
      </c>
      <c r="C43" s="41">
        <v>4.2670000000000003</v>
      </c>
      <c r="D43" s="41">
        <v>4.2670000000000003</v>
      </c>
      <c r="E43" s="41">
        <v>4.2670000000000003</v>
      </c>
      <c r="F43" s="41">
        <f>C43*3</f>
        <v>12.801000000000002</v>
      </c>
      <c r="G43" s="41">
        <f>C43*5</f>
        <v>21.335000000000001</v>
      </c>
      <c r="H43" s="41">
        <f>G43</f>
        <v>21.335000000000001</v>
      </c>
      <c r="I43" s="41">
        <v>4.2670000000000003</v>
      </c>
      <c r="J43" s="41">
        <v>4.2670000000000003</v>
      </c>
      <c r="K43" s="41">
        <v>4.2670000000000003</v>
      </c>
      <c r="L43" s="41">
        <v>4.2670000000000003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3"/>
    </row>
    <row r="44" spans="1:24" s="3" customFormat="1" ht="15">
      <c r="A44" s="22" t="s">
        <v>33</v>
      </c>
      <c r="B44" s="5" t="s">
        <v>56</v>
      </c>
      <c r="C44" s="41">
        <v>4.3620000000000001</v>
      </c>
      <c r="D44" s="41">
        <v>4.3620000000000001</v>
      </c>
      <c r="E44" s="41">
        <v>4.3620000000000001</v>
      </c>
      <c r="F44" s="41">
        <f>C44*3</f>
        <v>13.086</v>
      </c>
      <c r="G44" s="41">
        <f t="shared" ref="G44:H44" si="8">D44*3</f>
        <v>13.086</v>
      </c>
      <c r="H44" s="41">
        <f t="shared" si="8"/>
        <v>13.086</v>
      </c>
      <c r="I44" s="41">
        <v>4.3620000000000001</v>
      </c>
      <c r="J44" s="41">
        <v>4.3620000000000001</v>
      </c>
      <c r="K44" s="41">
        <v>4.3620000000000001</v>
      </c>
      <c r="L44" s="41">
        <v>4.3620000000000001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3"/>
    </row>
    <row r="45" spans="1:24" s="3" customFormat="1" ht="15">
      <c r="A45" s="22" t="s">
        <v>22</v>
      </c>
      <c r="B45" s="5"/>
      <c r="C45" s="41">
        <v>18.024786483781224</v>
      </c>
      <c r="D45" s="41">
        <v>18.024786483781224</v>
      </c>
      <c r="E45" s="41">
        <v>18.024786483781224</v>
      </c>
      <c r="F45" s="41">
        <v>18.024786483781224</v>
      </c>
      <c r="G45" s="41">
        <v>18.024786483781224</v>
      </c>
      <c r="H45" s="41">
        <v>18.024786483781224</v>
      </c>
      <c r="I45" s="41">
        <v>18.024786483781224</v>
      </c>
      <c r="J45" s="41">
        <v>18.024786483781224</v>
      </c>
      <c r="K45" s="41">
        <v>18.024786483781224</v>
      </c>
      <c r="L45" s="41">
        <v>18.024786483781224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3"/>
    </row>
    <row r="46" spans="1:24" s="3" customFormat="1" ht="15">
      <c r="A46" s="22" t="s">
        <v>23</v>
      </c>
      <c r="B46" s="5" t="s">
        <v>54</v>
      </c>
      <c r="C46" s="41">
        <v>4.3127422916287133</v>
      </c>
      <c r="D46" s="41">
        <v>4.3127422916287133</v>
      </c>
      <c r="E46" s="41">
        <v>4.3127422916287133</v>
      </c>
      <c r="F46" s="41">
        <v>4.3127422916287133</v>
      </c>
      <c r="G46" s="41">
        <v>4.3127422916287133</v>
      </c>
      <c r="H46" s="41">
        <v>4.3127422916287133</v>
      </c>
      <c r="I46" s="41">
        <v>4.3127422916287133</v>
      </c>
      <c r="J46" s="41">
        <v>4.3127422916287133</v>
      </c>
      <c r="K46" s="41">
        <v>4.3127422916287133</v>
      </c>
      <c r="L46" s="41">
        <v>4.3127422916287133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3"/>
    </row>
    <row r="47" spans="1:24" s="3" customFormat="1" ht="15">
      <c r="A47" s="22" t="s">
        <v>25</v>
      </c>
      <c r="B47" s="5" t="s">
        <v>57</v>
      </c>
      <c r="C47" s="41">
        <v>0.6377206062260804</v>
      </c>
      <c r="D47" s="41">
        <v>0.6377206062260804</v>
      </c>
      <c r="E47" s="41">
        <v>0.6377206062260804</v>
      </c>
      <c r="F47" s="41">
        <v>0.6377206062260804</v>
      </c>
      <c r="G47" s="41">
        <v>0.6377206062260804</v>
      </c>
      <c r="H47" s="41">
        <v>0.6377206062260804</v>
      </c>
      <c r="I47" s="41">
        <v>0.6377206062260804</v>
      </c>
      <c r="J47" s="41">
        <v>0.6377206062260804</v>
      </c>
      <c r="K47" s="41">
        <v>0.6377206062260804</v>
      </c>
      <c r="L47" s="41">
        <v>0.6377206062260804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3"/>
    </row>
    <row r="48" spans="1:24" s="3" customFormat="1" ht="15">
      <c r="A48" s="22" t="s">
        <v>26</v>
      </c>
      <c r="B48" s="5" t="s">
        <v>27</v>
      </c>
      <c r="C48" s="41">
        <v>0.59243776137546156</v>
      </c>
      <c r="D48" s="41">
        <v>0.59243776137546156</v>
      </c>
      <c r="E48" s="41">
        <v>0.59243776137546156</v>
      </c>
      <c r="F48" s="41">
        <v>0.59243776137546156</v>
      </c>
      <c r="G48" s="41">
        <v>0.59243776137546156</v>
      </c>
      <c r="H48" s="41">
        <v>0.59243776137546156</v>
      </c>
      <c r="I48" s="41">
        <v>0.59243776137546156</v>
      </c>
      <c r="J48" s="41">
        <v>0.59243776137546156</v>
      </c>
      <c r="K48" s="41">
        <v>0.59243776137546156</v>
      </c>
      <c r="L48" s="41">
        <v>0.59243776137546156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3"/>
    </row>
    <row r="49" spans="1:24" s="3" customFormat="1" ht="15">
      <c r="A49" s="22" t="s">
        <v>28</v>
      </c>
      <c r="B49" s="5" t="s">
        <v>55</v>
      </c>
      <c r="C49" s="41">
        <v>992.58303849998686</v>
      </c>
      <c r="D49" s="41">
        <v>992.58303849998686</v>
      </c>
      <c r="E49" s="41">
        <v>992.58303849998686</v>
      </c>
      <c r="F49" s="41">
        <v>992.58303849998686</v>
      </c>
      <c r="G49" s="41">
        <v>992.58303849998686</v>
      </c>
      <c r="H49" s="41">
        <v>992.58303849998686</v>
      </c>
      <c r="I49" s="41">
        <v>992.58303849998686</v>
      </c>
      <c r="J49" s="41">
        <v>992.58303849998686</v>
      </c>
      <c r="K49" s="41">
        <v>992.58303849998686</v>
      </c>
      <c r="L49" s="41">
        <v>992.58303849998686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3"/>
    </row>
    <row r="50" spans="1:24" s="3" customFormat="1" ht="15">
      <c r="A50" s="22"/>
      <c r="B50" s="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9"/>
    </row>
    <row r="51" spans="1:24" s="3" customFormat="1" ht="15">
      <c r="A51" s="2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9"/>
    </row>
    <row r="52" spans="1:24" s="3" customFormat="1" ht="15.75" thickBot="1">
      <c r="A52" s="33"/>
      <c r="B52" s="3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8"/>
    </row>
    <row r="53" spans="1:24" s="3" customFormat="1" ht="16.5" thickBot="1">
      <c r="A53" s="113" t="s">
        <v>37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/>
    </row>
    <row r="54" spans="1:24" s="3" customFormat="1" ht="15">
      <c r="A54" s="29" t="s">
        <v>38</v>
      </c>
      <c r="B54" s="39"/>
      <c r="C54" s="42">
        <v>79.589816609162398</v>
      </c>
      <c r="D54" s="42">
        <v>79.589816609162398</v>
      </c>
      <c r="E54" s="42">
        <v>79.589816609162398</v>
      </c>
      <c r="F54" s="42">
        <v>79.589816609162398</v>
      </c>
      <c r="G54" s="42">
        <v>79.589816609162398</v>
      </c>
      <c r="H54" s="42">
        <v>79.589816609162398</v>
      </c>
      <c r="I54" s="42">
        <v>79.589816609162398</v>
      </c>
      <c r="J54" s="42">
        <v>79.589816609162398</v>
      </c>
      <c r="K54" s="42">
        <v>79.589816609162398</v>
      </c>
      <c r="L54" s="42">
        <v>79.589816609162398</v>
      </c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3"/>
    </row>
    <row r="55" spans="1:24" s="3" customFormat="1" ht="15">
      <c r="A55" s="22" t="s">
        <v>39</v>
      </c>
      <c r="B55" s="8"/>
      <c r="C55" s="44">
        <v>0.31137148174568602</v>
      </c>
      <c r="D55" s="44">
        <v>0.31137148174568602</v>
      </c>
      <c r="E55" s="44">
        <v>0.31137148174568602</v>
      </c>
      <c r="F55" s="44">
        <v>0.31137148174568602</v>
      </c>
      <c r="G55" s="44">
        <v>0.31137148174568602</v>
      </c>
      <c r="H55" s="44">
        <v>0.31137148174568602</v>
      </c>
      <c r="I55" s="44">
        <v>0.31137148174568602</v>
      </c>
      <c r="J55" s="44">
        <v>0.31137148174568602</v>
      </c>
      <c r="K55" s="44">
        <v>0.31137148174568602</v>
      </c>
      <c r="L55" s="44">
        <v>0.31137148174568602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5"/>
    </row>
    <row r="56" spans="1:24" s="3" customFormat="1" ht="15">
      <c r="A56" s="22" t="s">
        <v>40</v>
      </c>
      <c r="B56" s="8"/>
      <c r="C56" s="44">
        <v>8.4389687202974406E-2</v>
      </c>
      <c r="D56" s="44">
        <v>8.4389687202974406E-2</v>
      </c>
      <c r="E56" s="44">
        <v>8.4389687202974406E-2</v>
      </c>
      <c r="F56" s="44">
        <v>8.4389687202974406E-2</v>
      </c>
      <c r="G56" s="44">
        <v>8.4389687202974406E-2</v>
      </c>
      <c r="H56" s="44">
        <v>8.4389687202974406E-2</v>
      </c>
      <c r="I56" s="44">
        <v>8.4389687202974406E-2</v>
      </c>
      <c r="J56" s="44">
        <v>8.4389687202974406E-2</v>
      </c>
      <c r="K56" s="44">
        <v>8.4389687202974406E-2</v>
      </c>
      <c r="L56" s="44">
        <v>8.4389687202974406E-2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5"/>
    </row>
    <row r="57" spans="1:24" s="3" customFormat="1" ht="15">
      <c r="A57" s="22" t="s">
        <v>41</v>
      </c>
      <c r="B57" s="8"/>
      <c r="C57" s="44">
        <v>0.154714426538786</v>
      </c>
      <c r="D57" s="44">
        <v>0.154714426538786</v>
      </c>
      <c r="E57" s="44">
        <v>0.154714426538786</v>
      </c>
      <c r="F57" s="44">
        <v>0.154714426538786</v>
      </c>
      <c r="G57" s="44">
        <v>0.154714426538786</v>
      </c>
      <c r="H57" s="44">
        <v>0.154714426538786</v>
      </c>
      <c r="I57" s="44">
        <v>0.154714426538786</v>
      </c>
      <c r="J57" s="44">
        <v>0.154714426538786</v>
      </c>
      <c r="K57" s="44">
        <v>0.154714426538786</v>
      </c>
      <c r="L57" s="44">
        <v>0.154714426538786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5"/>
    </row>
    <row r="58" spans="1:24" s="3" customFormat="1" ht="15">
      <c r="A58" s="22" t="s">
        <v>42</v>
      </c>
      <c r="B58" s="8"/>
      <c r="C58" s="44">
        <v>3.46198625260056</v>
      </c>
      <c r="D58" s="44">
        <v>3.46198625260056</v>
      </c>
      <c r="E58" s="44">
        <v>3.46198625260056</v>
      </c>
      <c r="F58" s="44">
        <v>3.46198625260056</v>
      </c>
      <c r="G58" s="44">
        <v>3.46198625260056</v>
      </c>
      <c r="H58" s="44">
        <v>3.46198625260056</v>
      </c>
      <c r="I58" s="44">
        <v>3.46198625260056</v>
      </c>
      <c r="J58" s="44">
        <v>3.46198625260056</v>
      </c>
      <c r="K58" s="44">
        <v>3.46198625260056</v>
      </c>
      <c r="L58" s="44">
        <v>3.46198625260056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5"/>
    </row>
    <row r="59" spans="1:24" s="3" customFormat="1" ht="15">
      <c r="A59" s="22" t="s">
        <v>43</v>
      </c>
      <c r="B59" s="8"/>
      <c r="C59" s="44">
        <v>1.70185889291477</v>
      </c>
      <c r="D59" s="44">
        <v>1.70185889291477</v>
      </c>
      <c r="E59" s="44">
        <v>1.70185889291477</v>
      </c>
      <c r="F59" s="44">
        <v>1.70185889291477</v>
      </c>
      <c r="G59" s="44">
        <v>1.70185889291477</v>
      </c>
      <c r="H59" s="44">
        <v>1.70185889291477</v>
      </c>
      <c r="I59" s="44">
        <v>1.70185889291477</v>
      </c>
      <c r="J59" s="44">
        <v>1.70185889291477</v>
      </c>
      <c r="K59" s="44">
        <v>1.70185889291477</v>
      </c>
      <c r="L59" s="44">
        <v>1.70185889291477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5"/>
    </row>
    <row r="60" spans="1:24" s="3" customFormat="1" ht="15">
      <c r="A60" s="22" t="s">
        <v>44</v>
      </c>
      <c r="B60" s="8"/>
      <c r="C60" s="44">
        <v>1.48083828357365</v>
      </c>
      <c r="D60" s="44">
        <v>1.48083828357365</v>
      </c>
      <c r="E60" s="44">
        <v>1.48083828357365</v>
      </c>
      <c r="F60" s="44">
        <v>1.48083828357365</v>
      </c>
      <c r="G60" s="44">
        <v>1.48083828357365</v>
      </c>
      <c r="H60" s="44">
        <v>1.48083828357365</v>
      </c>
      <c r="I60" s="44">
        <v>1.48083828357365</v>
      </c>
      <c r="J60" s="44">
        <v>1.48083828357365</v>
      </c>
      <c r="K60" s="44">
        <v>1.48083828357365</v>
      </c>
      <c r="L60" s="44">
        <v>1.48083828357365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5"/>
    </row>
    <row r="61" spans="1:24" s="3" customFormat="1" ht="15">
      <c r="A61" s="22" t="s">
        <v>45</v>
      </c>
      <c r="B61" s="8"/>
      <c r="C61" s="44">
        <v>0.32952163574494797</v>
      </c>
      <c r="D61" s="44">
        <v>0.32952163574494797</v>
      </c>
      <c r="E61" s="44">
        <v>0.32952163574494797</v>
      </c>
      <c r="F61" s="44">
        <v>0.32952163574494797</v>
      </c>
      <c r="G61" s="44">
        <v>0.32952163574494797</v>
      </c>
      <c r="H61" s="44">
        <v>0.32952163574494797</v>
      </c>
      <c r="I61" s="44">
        <v>0.32952163574494797</v>
      </c>
      <c r="J61" s="44">
        <v>0.32952163574494797</v>
      </c>
      <c r="K61" s="44">
        <v>0.32952163574494797</v>
      </c>
      <c r="L61" s="44">
        <v>0.32952163574494797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5"/>
    </row>
    <row r="62" spans="1:24" s="3" customFormat="1" ht="15">
      <c r="A62" s="22" t="s">
        <v>46</v>
      </c>
      <c r="B62" s="8"/>
      <c r="C62" s="44">
        <v>0.829831924162582</v>
      </c>
      <c r="D62" s="44">
        <v>0.829831924162582</v>
      </c>
      <c r="E62" s="44">
        <v>0.829831924162582</v>
      </c>
      <c r="F62" s="44">
        <v>0.829831924162582</v>
      </c>
      <c r="G62" s="44">
        <v>0.829831924162582</v>
      </c>
      <c r="H62" s="44">
        <v>0.829831924162582</v>
      </c>
      <c r="I62" s="44">
        <v>0.829831924162582</v>
      </c>
      <c r="J62" s="44">
        <v>0.829831924162582</v>
      </c>
      <c r="K62" s="44">
        <v>0.829831924162582</v>
      </c>
      <c r="L62" s="44">
        <v>0.829831924162582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5"/>
    </row>
    <row r="63" spans="1:24" s="3" customFormat="1" ht="15">
      <c r="A63" s="22" t="s">
        <v>47</v>
      </c>
      <c r="B63" s="8"/>
      <c r="C63" s="44">
        <v>0.19690927014027401</v>
      </c>
      <c r="D63" s="44">
        <v>0.19690927014027401</v>
      </c>
      <c r="E63" s="44">
        <v>0.19690927014027401</v>
      </c>
      <c r="F63" s="44">
        <v>0.19690927014027401</v>
      </c>
      <c r="G63" s="44">
        <v>0.19690927014027401</v>
      </c>
      <c r="H63" s="44">
        <v>0.19690927014027401</v>
      </c>
      <c r="I63" s="44">
        <v>0.19690927014027401</v>
      </c>
      <c r="J63" s="44">
        <v>0.19690927014027401</v>
      </c>
      <c r="K63" s="44">
        <v>0.19690927014027401</v>
      </c>
      <c r="L63" s="44">
        <v>0.19690927014027401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5"/>
    </row>
    <row r="64" spans="1:24" s="3" customFormat="1" ht="15">
      <c r="A64" s="22" t="s">
        <v>48</v>
      </c>
      <c r="B64" s="8"/>
      <c r="C64" s="44">
        <v>0.58269069735387102</v>
      </c>
      <c r="D64" s="44">
        <v>0.58269069735387102</v>
      </c>
      <c r="E64" s="44">
        <v>0.58269069735387102</v>
      </c>
      <c r="F64" s="44">
        <v>0.58269069735387102</v>
      </c>
      <c r="G64" s="44">
        <v>0.58269069735387102</v>
      </c>
      <c r="H64" s="44">
        <v>0.58269069735387102</v>
      </c>
      <c r="I64" s="44">
        <v>0.58269069735387102</v>
      </c>
      <c r="J64" s="44">
        <v>0.58269069735387102</v>
      </c>
      <c r="K64" s="44">
        <v>0.58269069735387102</v>
      </c>
      <c r="L64" s="44">
        <v>0.58269069735387102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5"/>
    </row>
    <row r="65" spans="1:24" s="3" customFormat="1" ht="15">
      <c r="A65" s="22" t="s">
        <v>49</v>
      </c>
      <c r="B65" s="8"/>
      <c r="C65" s="44">
        <v>1.08501026403824</v>
      </c>
      <c r="D65" s="44">
        <v>1.08501026403824</v>
      </c>
      <c r="E65" s="44">
        <v>1.08501026403824</v>
      </c>
      <c r="F65" s="44">
        <v>1.08501026403824</v>
      </c>
      <c r="G65" s="44">
        <v>1.08501026403824</v>
      </c>
      <c r="H65" s="44">
        <v>1.08501026403824</v>
      </c>
      <c r="I65" s="44">
        <v>1.08501026403824</v>
      </c>
      <c r="J65" s="44">
        <v>1.08501026403824</v>
      </c>
      <c r="K65" s="44">
        <v>1.08501026403824</v>
      </c>
      <c r="L65" s="44">
        <v>1.08501026403824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5"/>
    </row>
    <row r="66" spans="1:24" s="3" customFormat="1" ht="15">
      <c r="A66" s="22" t="s">
        <v>50</v>
      </c>
      <c r="B66" s="8"/>
      <c r="C66" s="44">
        <v>10.1910605748213</v>
      </c>
      <c r="D66" s="44">
        <v>10.1910605748213</v>
      </c>
      <c r="E66" s="44">
        <v>10.1910605748213</v>
      </c>
      <c r="F66" s="44">
        <v>10.1910605748213</v>
      </c>
      <c r="G66" s="44">
        <v>10.1910605748213</v>
      </c>
      <c r="H66" s="44">
        <v>10.1910605748213</v>
      </c>
      <c r="I66" s="44">
        <v>10.1910605748213</v>
      </c>
      <c r="J66" s="44">
        <v>10.1910605748213</v>
      </c>
      <c r="K66" s="44">
        <v>10.1910605748213</v>
      </c>
      <c r="L66" s="44">
        <v>10.1910605748213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5"/>
    </row>
    <row r="67" spans="1:24" s="3" customFormat="1" ht="15.75" thickBot="1">
      <c r="A67" s="23"/>
      <c r="B67" s="10"/>
      <c r="C67" s="20">
        <f>SUM(C54:C66)</f>
        <v>100.00000000000003</v>
      </c>
      <c r="D67" s="20">
        <f t="shared" ref="D67:F67" si="9">SUM(D54:D66)</f>
        <v>100.00000000000003</v>
      </c>
      <c r="E67" s="20">
        <f t="shared" si="9"/>
        <v>100.00000000000003</v>
      </c>
      <c r="F67" s="20">
        <f t="shared" si="9"/>
        <v>100.00000000000003</v>
      </c>
      <c r="G67" s="20">
        <f t="shared" ref="G67" si="10">SUM(G54:G66)</f>
        <v>100.00000000000003</v>
      </c>
      <c r="H67" s="20">
        <f t="shared" ref="H67" si="11">SUM(H54:H66)</f>
        <v>100.00000000000003</v>
      </c>
      <c r="I67" s="20">
        <f t="shared" ref="I67:L67" si="12">SUM(I54:I66)</f>
        <v>100.00000000000003</v>
      </c>
      <c r="J67" s="20">
        <f t="shared" si="12"/>
        <v>100.00000000000003</v>
      </c>
      <c r="K67" s="20">
        <f t="shared" si="12"/>
        <v>100.00000000000003</v>
      </c>
      <c r="L67" s="20">
        <f t="shared" si="12"/>
        <v>100.00000000000003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1"/>
    </row>
    <row r="68" spans="1:24" ht="15">
      <c r="A68" s="107" t="s">
        <v>89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ht="15">
      <c r="A69" s="108" t="s">
        <v>90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ht="15">
      <c r="A70" s="108" t="s">
        <v>91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 ht="15">
      <c r="A71" s="108" t="s">
        <v>102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</sheetData>
  <mergeCells count="5">
    <mergeCell ref="A2:X2"/>
    <mergeCell ref="A15:X15"/>
    <mergeCell ref="A29:X29"/>
    <mergeCell ref="A41:X41"/>
    <mergeCell ref="A53:X53"/>
  </mergeCells>
  <printOptions horizontalCentered="1"/>
  <pageMargins left="0.7" right="0.7" top="0.5" bottom="0.75" header="0.3" footer="0.3"/>
  <pageSetup paperSize="8" scale="70" orientation="landscape" horizontalDpi="4294967292" verticalDpi="0" r:id="rId1"/>
  <headerFooter>
    <oddHeader>&amp;L&amp;14HEAT and MATERIAL BALANCE (H and M REPORT)</oddHeader>
  </headerFooter>
  <rowBreaks count="1" manualBreakCount="1">
    <brk id="72" max="16383" man="1"/>
  </rowBreaks>
  <ignoredErrors>
    <ignoredError sqref="F10 G10: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 &amp; M - SUM-1</vt:lpstr>
      <vt:lpstr>H &amp;M -SUM-2</vt:lpstr>
      <vt:lpstr>H&amp;M-FEED</vt:lpstr>
      <vt:lpstr>'H &amp; M - SUM-1'!Print_Area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r-asgari</dc:creator>
  <cp:lastModifiedBy>PARAND</cp:lastModifiedBy>
  <cp:lastPrinted>2012-02-18T10:54:17Z</cp:lastPrinted>
  <dcterms:created xsi:type="dcterms:W3CDTF">2012-02-16T13:10:41Z</dcterms:created>
  <dcterms:modified xsi:type="dcterms:W3CDTF">2012-07-26T10:58:32Z</dcterms:modified>
</cp:coreProperties>
</file>